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autoCompressPictures="0"/>
  <mc:AlternateContent xmlns:mc="http://schemas.openxmlformats.org/markup-compatibility/2006">
    <mc:Choice Requires="x15">
      <x15ac:absPath xmlns:x15ac="http://schemas.microsoft.com/office/spreadsheetml/2010/11/ac" url="H:\data\Documents\Daten\EXCEL\PPI\Dienstleistungsbranchen\Informatik\"/>
    </mc:Choice>
  </mc:AlternateContent>
  <bookViews>
    <workbookView showSheetTabs="0" xWindow="0" yWindow="0" windowWidth="25440" windowHeight="16005" tabRatio="971"/>
  </bookViews>
  <sheets>
    <sheet name="Langue" sheetId="122" r:id="rId1"/>
    <sheet name="Intro" sheetId="2" r:id="rId2"/>
    <sheet name="Intro 2" sheetId="134" r:id="rId3"/>
    <sheet name="0" sheetId="1" r:id="rId4"/>
    <sheet name="1" sheetId="92" r:id="rId5"/>
    <sheet name="101" sheetId="93" r:id="rId6"/>
    <sheet name="11cCH" sheetId="96" r:id="rId7"/>
    <sheet name="11cEX" sheetId="97" r:id="rId8"/>
    <sheet name="11hCH" sheetId="95" r:id="rId9"/>
    <sheet name="11hEX" sheetId="125" r:id="rId10"/>
    <sheet name="102" sheetId="94" r:id="rId11"/>
    <sheet name="12l" sheetId="99" r:id="rId12"/>
    <sheet name="2" sheetId="91" r:id="rId13"/>
    <sheet name="201" sheetId="89" r:id="rId14"/>
    <sheet name="21hCH" sheetId="85" r:id="rId15"/>
    <sheet name="21hEX" sheetId="128" r:id="rId16"/>
    <sheet name="202" sheetId="100" r:id="rId17"/>
    <sheet name="22hCH" sheetId="87" r:id="rId18"/>
    <sheet name="22hEX" sheetId="129" r:id="rId19"/>
    <sheet name="203" sheetId="101" r:id="rId20"/>
    <sheet name="23i" sheetId="90" r:id="rId21"/>
    <sheet name="23hCH" sheetId="88" r:id="rId22"/>
    <sheet name="23hEX" sheetId="130" r:id="rId23"/>
    <sheet name="3" sheetId="102" r:id="rId24"/>
    <sheet name="30" sheetId="103" r:id="rId25"/>
    <sheet name="31cCH" sheetId="104" r:id="rId26"/>
    <sheet name="31cEX" sheetId="105" r:id="rId27"/>
    <sheet name="31hCH" sheetId="106" r:id="rId28"/>
    <sheet name="31hEX" sheetId="131" r:id="rId29"/>
    <sheet name="32t" sheetId="107" r:id="rId30"/>
    <sheet name="32hCH" sheetId="108" r:id="rId31"/>
    <sheet name="32hEX" sheetId="132" r:id="rId32"/>
    <sheet name="4" sheetId="109" r:id="rId33"/>
    <sheet name="40" sheetId="110" r:id="rId34"/>
    <sheet name="41t" sheetId="111" r:id="rId35"/>
    <sheet name="41uCH" sheetId="112" r:id="rId36"/>
    <sheet name="41uEX" sheetId="113" r:id="rId37"/>
    <sheet name="42t" sheetId="114" r:id="rId38"/>
    <sheet name="42uCH" sheetId="115" r:id="rId39"/>
    <sheet name="42uEX" sheetId="116" r:id="rId40"/>
    <sheet name="43t" sheetId="117" r:id="rId41"/>
    <sheet name="43uCH" sheetId="118" r:id="rId42"/>
    <sheet name="43uEX" sheetId="119" r:id="rId43"/>
    <sheet name="5" sheetId="98" r:id="rId44"/>
    <sheet name="Steuerung" sheetId="120" r:id="rId45"/>
    <sheet name="txt" sheetId="121" r:id="rId46"/>
    <sheet name="read" sheetId="124" r:id="rId47"/>
  </sheets>
  <definedNames>
    <definedName name="Currency">txt!$B$162:$B$164</definedName>
    <definedName name="_xlnm.Print_Area" localSheetId="3">'0'!$A$1:$F$34</definedName>
    <definedName name="_xlnm.Print_Area" localSheetId="4">'1'!$A$1:$E$22</definedName>
    <definedName name="_xlnm.Print_Area" localSheetId="5">'101'!$A$1:$E$25</definedName>
    <definedName name="_xlnm.Print_Area" localSheetId="10">'102'!$A$1:$E$23</definedName>
    <definedName name="_xlnm.Print_Area" localSheetId="6">'11cCH'!$A$1:$I$29</definedName>
    <definedName name="_xlnm.Print_Area" localSheetId="7">'11cEX'!$A$1:$I$29</definedName>
    <definedName name="_xlnm.Print_Area" localSheetId="8">'11hCH'!$A$1:$K$50</definedName>
    <definedName name="_xlnm.Print_Area" localSheetId="9">'11hEX'!$A$1:$K$50</definedName>
    <definedName name="_xlnm.Print_Area" localSheetId="11">'12l'!$A$1:$I$34</definedName>
    <definedName name="_xlnm.Print_Area" localSheetId="12">'2'!$A$1:$E$26</definedName>
    <definedName name="_xlnm.Print_Area" localSheetId="13">'201'!$A$1:$E$21</definedName>
    <definedName name="_xlnm.Print_Area" localSheetId="16">'202'!$A$1:$E$21</definedName>
    <definedName name="_xlnm.Print_Area" localSheetId="19">'203'!$A$1:$E$25</definedName>
    <definedName name="_xlnm.Print_Area" localSheetId="14">'21hCH'!$A$1:$K$50</definedName>
    <definedName name="_xlnm.Print_Area" localSheetId="15">'21hEX'!$A$1:$K$50</definedName>
    <definedName name="_xlnm.Print_Area" localSheetId="17">'22hCH'!$A$1:$K$50</definedName>
    <definedName name="_xlnm.Print_Area" localSheetId="18">'22hEX'!$A$1:$K$50</definedName>
    <definedName name="_xlnm.Print_Area" localSheetId="21">'23hCH'!$A$1:$K$50</definedName>
    <definedName name="_xlnm.Print_Area" localSheetId="22">'23hEX'!$A$1:$K$50</definedName>
    <definedName name="_xlnm.Print_Area" localSheetId="20">'23i'!$A$1:$I$27</definedName>
    <definedName name="_xlnm.Print_Area" localSheetId="23">'3'!$A$1:$E$22</definedName>
    <definedName name="_xlnm.Print_Area" localSheetId="24">'30'!$A$1:$E$29</definedName>
    <definedName name="_xlnm.Print_Area" localSheetId="25">'31cCH'!$A$1:$I$31</definedName>
    <definedName name="_xlnm.Print_Area" localSheetId="26">'31cEX'!$A$1:$I$31</definedName>
    <definedName name="_xlnm.Print_Area" localSheetId="27">'31hCH'!$A$1:$K$37</definedName>
    <definedName name="_xlnm.Print_Area" localSheetId="28">'31hEX'!$A$1:$K$37</definedName>
    <definedName name="_xlnm.Print_Area" localSheetId="30">'32hCH'!$A$1:$K$37</definedName>
    <definedName name="_xlnm.Print_Area" localSheetId="31">'32hEX'!$A$1:$K$37</definedName>
    <definedName name="_xlnm.Print_Area" localSheetId="29">'32t'!$A$1:$I$24</definedName>
    <definedName name="_xlnm.Print_Area" localSheetId="32">'4'!$A$1:$E$27</definedName>
    <definedName name="_xlnm.Print_Area" localSheetId="33">'40'!$A$1:$E$23</definedName>
    <definedName name="_xlnm.Print_Area" localSheetId="34">'41t'!$A$1:$I$24</definedName>
    <definedName name="_xlnm.Print_Area" localSheetId="35">'41uCH'!$A$1:$K$32</definedName>
    <definedName name="_xlnm.Print_Area" localSheetId="36">'41uEX'!$A$1:$K$32</definedName>
    <definedName name="_xlnm.Print_Area" localSheetId="37">'42t'!$A$1:$I$24</definedName>
    <definedName name="_xlnm.Print_Area" localSheetId="38">'42uCH'!$A$1:$K$32</definedName>
    <definedName name="_xlnm.Print_Area" localSheetId="39">'42uEX'!$A$1:$K$32</definedName>
    <definedName name="_xlnm.Print_Area" localSheetId="40">'43t'!$A$1:$I$24</definedName>
    <definedName name="_xlnm.Print_Area" localSheetId="41">'43uCH'!$A$1:$K$32</definedName>
    <definedName name="_xlnm.Print_Area" localSheetId="42">'43uEX'!$A$1:$K$32</definedName>
    <definedName name="_xlnm.Print_Area" localSheetId="43">'5'!$A$1:$G$18</definedName>
    <definedName name="_xlnm.Print_Area" localSheetId="1">Intro!$A$1:$G$31</definedName>
    <definedName name="_xlnm.Print_Area" localSheetId="2">'Intro 2'!$A$1:$F$36</definedName>
    <definedName name="_xlnm.Print_Area" localSheetId="0">Langue!$A$1:$D$10</definedName>
    <definedName name="_xlnm.Print_Area" localSheetId="46">read!$A$1:$S$146</definedName>
    <definedName name="SBezeichnung" comment="Bezeichnet die Spalte mit der Bezeichnung im Importfile">txt!$B$262</definedName>
    <definedName name="SMengeVorjahr" comment="Bezeichnet die Spaltennr. der Menge im Vorjahr im Exportfile">txt!$B$265</definedName>
    <definedName name="SPreisVorjahr" comment="Bezeichnet die Spaltennr. des Preises im Vorjahr">txt!$B$263</definedName>
    <definedName name="SRabattVorjahr" comment="Bezeichnet die Spaltennr. des Rabatts im Vorjahr im Exportfile">txt!$B$264</definedName>
    <definedName name="SWaehrung" comment="Bezeichnet die Spaltennr. der Währung in der Matrix des Exportfiles">txt!$B$266</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B267" i="121" l="1"/>
  <c r="G35" i="2"/>
  <c r="G39" i="96"/>
  <c r="D46" i="121"/>
  <c r="C46" i="121"/>
  <c r="F5" i="124"/>
  <c r="H29" i="124"/>
  <c r="F67" i="124"/>
  <c r="M121" i="124"/>
  <c r="M120" i="124"/>
  <c r="M119" i="124"/>
  <c r="K121" i="124"/>
  <c r="K120" i="124"/>
  <c r="K119" i="124"/>
  <c r="E121" i="124"/>
  <c r="E120" i="124"/>
  <c r="E115" i="124"/>
  <c r="M116" i="124"/>
  <c r="M115" i="124"/>
  <c r="M114" i="124"/>
  <c r="K116" i="124"/>
  <c r="K115" i="124"/>
  <c r="K114" i="124"/>
  <c r="E103" i="124"/>
  <c r="M109" i="124"/>
  <c r="M108" i="124"/>
  <c r="M107" i="124"/>
  <c r="K109" i="124"/>
  <c r="K108" i="124"/>
  <c r="K107" i="124"/>
  <c r="E109" i="124"/>
  <c r="E108" i="124"/>
  <c r="M104" i="124"/>
  <c r="M103" i="124"/>
  <c r="M102" i="124"/>
  <c r="K104" i="124"/>
  <c r="K103" i="124"/>
  <c r="K102" i="124"/>
  <c r="E77" i="124"/>
  <c r="M88" i="124"/>
  <c r="M87" i="124"/>
  <c r="M86" i="124"/>
  <c r="K88" i="124"/>
  <c r="K87" i="124"/>
  <c r="K86" i="124"/>
  <c r="M93" i="124"/>
  <c r="M92" i="124"/>
  <c r="M91" i="124"/>
  <c r="K93" i="124"/>
  <c r="K92" i="124"/>
  <c r="K91" i="124"/>
  <c r="E93" i="124"/>
  <c r="E92" i="124"/>
  <c r="E88" i="124"/>
  <c r="E87" i="124"/>
  <c r="E65" i="124"/>
  <c r="M83" i="124"/>
  <c r="M82" i="124"/>
  <c r="M81" i="124"/>
  <c r="K83" i="124"/>
  <c r="K82" i="124"/>
  <c r="K81" i="124"/>
  <c r="E83" i="124"/>
  <c r="E82" i="124"/>
  <c r="M78" i="124"/>
  <c r="M77" i="124"/>
  <c r="M76" i="124"/>
  <c r="K78" i="124"/>
  <c r="K77" i="124"/>
  <c r="K76" i="124"/>
  <c r="E78" i="124"/>
  <c r="E55" i="124"/>
  <c r="K66" i="124"/>
  <c r="K65" i="124"/>
  <c r="K64" i="124"/>
  <c r="M66" i="124"/>
  <c r="M65" i="124"/>
  <c r="M64" i="124"/>
  <c r="M71" i="124"/>
  <c r="M70" i="124"/>
  <c r="M69" i="124"/>
  <c r="K71" i="124"/>
  <c r="K70" i="124"/>
  <c r="K69" i="124"/>
  <c r="E71" i="124"/>
  <c r="E70" i="124"/>
  <c r="E66" i="124"/>
  <c r="M56" i="124"/>
  <c r="M55" i="124"/>
  <c r="M54" i="124"/>
  <c r="K56" i="124"/>
  <c r="K55" i="124"/>
  <c r="K54" i="124"/>
  <c r="M61" i="124"/>
  <c r="M60" i="124"/>
  <c r="M59" i="124"/>
  <c r="K61" i="124"/>
  <c r="K60" i="124"/>
  <c r="K59" i="124"/>
  <c r="E61" i="124"/>
  <c r="E60" i="124"/>
  <c r="E56" i="124"/>
  <c r="E35" i="124"/>
  <c r="M51" i="124"/>
  <c r="M50" i="124"/>
  <c r="M49" i="124"/>
  <c r="K51" i="124"/>
  <c r="K50" i="124"/>
  <c r="K49" i="124"/>
  <c r="E51" i="124"/>
  <c r="E50" i="124"/>
  <c r="E45" i="124"/>
  <c r="M46" i="124"/>
  <c r="M45" i="124"/>
  <c r="M44" i="124"/>
  <c r="K46" i="124"/>
  <c r="K45" i="124"/>
  <c r="K44" i="124"/>
  <c r="E46" i="124"/>
  <c r="E41" i="124"/>
  <c r="E40" i="124"/>
  <c r="M41" i="124"/>
  <c r="M40" i="124"/>
  <c r="M39" i="124"/>
  <c r="M38" i="124"/>
  <c r="K41" i="124"/>
  <c r="K40" i="124"/>
  <c r="K39" i="124"/>
  <c r="M36" i="124"/>
  <c r="M35" i="124"/>
  <c r="M34" i="124"/>
  <c r="K36" i="124"/>
  <c r="K35" i="124"/>
  <c r="K34" i="124"/>
  <c r="E36" i="124"/>
  <c r="E21" i="124"/>
  <c r="M27" i="124"/>
  <c r="M26" i="124"/>
  <c r="M25" i="124"/>
  <c r="K27" i="124"/>
  <c r="K26" i="124"/>
  <c r="K25" i="124"/>
  <c r="E27" i="124"/>
  <c r="E26" i="124"/>
  <c r="M22" i="124"/>
  <c r="K22" i="124"/>
  <c r="K21" i="124"/>
  <c r="K20" i="124"/>
  <c r="E22" i="124"/>
  <c r="E16" i="124"/>
  <c r="E12" i="124"/>
  <c r="E17" i="124"/>
  <c r="E11" i="124"/>
  <c r="K17" i="124"/>
  <c r="K16" i="124"/>
  <c r="K15" i="124"/>
  <c r="M17" i="124"/>
  <c r="M16" i="124"/>
  <c r="M15" i="124"/>
  <c r="M12" i="124"/>
  <c r="K12" i="124"/>
  <c r="K11" i="124"/>
  <c r="H11" i="124"/>
  <c r="K10" i="124"/>
  <c r="G35" i="97"/>
  <c r="E3" i="124"/>
  <c r="E4" i="124"/>
  <c r="M74" i="124"/>
  <c r="H28" i="124"/>
  <c r="F145" i="124"/>
  <c r="F144" i="124"/>
  <c r="F143" i="124"/>
  <c r="F135" i="124"/>
  <c r="H145" i="124"/>
  <c r="H144" i="124"/>
  <c r="H143" i="124"/>
  <c r="H140" i="124"/>
  <c r="P145" i="124"/>
  <c r="P144" i="124"/>
  <c r="P143" i="124"/>
  <c r="P140" i="124"/>
  <c r="E145" i="124"/>
  <c r="E144" i="124"/>
  <c r="H34" i="119"/>
  <c r="H36" i="118"/>
  <c r="H142" i="124"/>
  <c r="H141" i="124"/>
  <c r="H132" i="124"/>
  <c r="P142" i="124"/>
  <c r="P141" i="124"/>
  <c r="P132" i="124"/>
  <c r="E142" i="124"/>
  <c r="E141" i="124"/>
  <c r="F139" i="124"/>
  <c r="F131" i="124"/>
  <c r="H139" i="124"/>
  <c r="H138" i="124"/>
  <c r="H130" i="124"/>
  <c r="E138" i="124"/>
  <c r="G28" i="114"/>
  <c r="F137" i="124"/>
  <c r="F136" i="124"/>
  <c r="F127" i="124"/>
  <c r="H137" i="124"/>
  <c r="H136" i="124"/>
  <c r="H135" i="124"/>
  <c r="P137" i="124"/>
  <c r="P136" i="124"/>
  <c r="P135" i="124"/>
  <c r="E137" i="124"/>
  <c r="E136" i="124"/>
  <c r="H36" i="116"/>
  <c r="P134" i="124"/>
  <c r="P133" i="124"/>
  <c r="P124" i="124"/>
  <c r="H134" i="124"/>
  <c r="H133" i="124"/>
  <c r="H124" i="124"/>
  <c r="E134" i="124"/>
  <c r="E133" i="124"/>
  <c r="H36" i="112"/>
  <c r="H131" i="124"/>
  <c r="G26" i="111"/>
  <c r="H129" i="124"/>
  <c r="H128" i="124"/>
  <c r="H127" i="124"/>
  <c r="F129" i="124"/>
  <c r="F128" i="124"/>
  <c r="F117" i="124"/>
  <c r="F105" i="124"/>
  <c r="P129" i="124"/>
  <c r="P128" i="124"/>
  <c r="P127" i="124"/>
  <c r="E129" i="124"/>
  <c r="E128" i="124"/>
  <c r="P126" i="124"/>
  <c r="P125" i="124"/>
  <c r="H126" i="124"/>
  <c r="H125" i="124"/>
  <c r="K112" i="124"/>
  <c r="E126" i="124"/>
  <c r="E125" i="124"/>
  <c r="E39" i="104"/>
  <c r="F123" i="124"/>
  <c r="F111" i="124"/>
  <c r="H123" i="124"/>
  <c r="H122" i="124"/>
  <c r="H110" i="124"/>
  <c r="E110" i="124"/>
  <c r="M118" i="124"/>
  <c r="M117" i="124"/>
  <c r="M112" i="124"/>
  <c r="K118" i="124"/>
  <c r="K117" i="124"/>
  <c r="H111" i="124"/>
  <c r="K100" i="124"/>
  <c r="M113" i="124"/>
  <c r="M100" i="124"/>
  <c r="K113" i="124"/>
  <c r="F97" i="124"/>
  <c r="M106" i="124"/>
  <c r="M105" i="124"/>
  <c r="K106" i="124"/>
  <c r="K105" i="124"/>
  <c r="M101" i="124"/>
  <c r="K101" i="124"/>
  <c r="K74" i="124"/>
  <c r="F99" i="124"/>
  <c r="F98" i="124"/>
  <c r="F84" i="124"/>
  <c r="H99" i="124"/>
  <c r="H98" i="124"/>
  <c r="H97" i="124"/>
  <c r="H94" i="124"/>
  <c r="E99" i="124"/>
  <c r="E98" i="124"/>
  <c r="E33" i="105"/>
  <c r="H96" i="124"/>
  <c r="H95" i="124"/>
  <c r="H2" i="124"/>
  <c r="E95" i="124"/>
  <c r="E96" i="124"/>
  <c r="F89" i="124"/>
  <c r="F62" i="124"/>
  <c r="M90" i="124"/>
  <c r="M89" i="124"/>
  <c r="M85" i="124"/>
  <c r="M84" i="124"/>
  <c r="K90" i="124"/>
  <c r="K89" i="124"/>
  <c r="K85" i="124"/>
  <c r="K84" i="124"/>
  <c r="K80" i="124"/>
  <c r="K79" i="124"/>
  <c r="K52" i="124"/>
  <c r="M75" i="124"/>
  <c r="M80" i="124"/>
  <c r="M79" i="124"/>
  <c r="M52" i="124"/>
  <c r="K75" i="124"/>
  <c r="F73" i="124"/>
  <c r="H73" i="124"/>
  <c r="F42" i="124"/>
  <c r="M68" i="124"/>
  <c r="M67" i="124"/>
  <c r="M62" i="124"/>
  <c r="K68" i="124"/>
  <c r="K67" i="124"/>
  <c r="K62" i="124"/>
  <c r="M63" i="124"/>
  <c r="K63" i="124"/>
  <c r="K58" i="124"/>
  <c r="K57" i="124"/>
  <c r="M58" i="124"/>
  <c r="M57" i="124"/>
  <c r="M53" i="124"/>
  <c r="M32" i="124"/>
  <c r="K53" i="124"/>
  <c r="K32" i="124"/>
  <c r="M48" i="124"/>
  <c r="M47" i="124"/>
  <c r="M42" i="124"/>
  <c r="K48" i="124"/>
  <c r="K47" i="124"/>
  <c r="K42" i="124"/>
  <c r="F47" i="124"/>
  <c r="F18" i="124"/>
  <c r="M43" i="124"/>
  <c r="K43" i="124"/>
  <c r="M37" i="124"/>
  <c r="K38" i="124"/>
  <c r="K37" i="124"/>
  <c r="M33" i="124"/>
  <c r="M8" i="124"/>
  <c r="K33" i="124"/>
  <c r="K8" i="124"/>
  <c r="F30" i="124"/>
  <c r="H31" i="124"/>
  <c r="H30" i="124"/>
  <c r="G36" i="99"/>
  <c r="M24" i="124"/>
  <c r="M23" i="124"/>
  <c r="K24" i="124"/>
  <c r="K23" i="124"/>
  <c r="K18" i="124"/>
  <c r="F23" i="124"/>
  <c r="M20" i="124"/>
  <c r="M18" i="124"/>
  <c r="K19" i="124"/>
  <c r="H5" i="124"/>
  <c r="M13" i="124"/>
  <c r="M14" i="124"/>
  <c r="K13" i="124"/>
  <c r="K14" i="124"/>
  <c r="M10" i="124"/>
  <c r="K9" i="124"/>
  <c r="H7" i="124"/>
  <c r="H6" i="124"/>
  <c r="F7" i="124"/>
  <c r="F6" i="124"/>
  <c r="E7" i="124"/>
  <c r="E6" i="124"/>
  <c r="H4" i="124"/>
  <c r="H3" i="124"/>
  <c r="B2" i="121"/>
  <c r="B206" i="121"/>
  <c r="C233" i="121"/>
  <c r="C234" i="121"/>
  <c r="C237" i="121"/>
  <c r="C238" i="121"/>
  <c r="C239" i="121"/>
  <c r="C240" i="121"/>
  <c r="D234" i="121"/>
  <c r="D233" i="121"/>
  <c r="D116" i="121"/>
  <c r="C116" i="121"/>
  <c r="C15" i="94"/>
  <c r="B33" i="120"/>
  <c r="C29" i="120"/>
  <c r="C33" i="120"/>
  <c r="A27" i="120"/>
  <c r="B29" i="120"/>
  <c r="A31" i="103"/>
  <c r="E29" i="120"/>
  <c r="C31" i="120"/>
  <c r="E31" i="120"/>
  <c r="A39" i="106"/>
  <c r="E33" i="120"/>
  <c r="A12" i="120"/>
  <c r="B13" i="120"/>
  <c r="B17" i="120"/>
  <c r="B21" i="120"/>
  <c r="C22" i="120"/>
  <c r="C24" i="120"/>
  <c r="E22" i="120"/>
  <c r="E24" i="120"/>
  <c r="C73" i="124"/>
  <c r="E14" i="120"/>
  <c r="E15" i="120"/>
  <c r="E18" i="120"/>
  <c r="A52" i="87"/>
  <c r="E25" i="120"/>
  <c r="A2" i="120"/>
  <c r="B3" i="120"/>
  <c r="A24" i="92"/>
  <c r="B8" i="120"/>
  <c r="C4" i="120"/>
  <c r="C6" i="120"/>
  <c r="A29" i="93"/>
  <c r="E4" i="120"/>
  <c r="E6" i="120"/>
  <c r="A52" i="95"/>
  <c r="A38" i="120"/>
  <c r="D45" i="121"/>
  <c r="C45" i="121"/>
  <c r="J121" i="124"/>
  <c r="G121" i="124"/>
  <c r="L121" i="124"/>
  <c r="J120" i="124"/>
  <c r="L120" i="124"/>
  <c r="G120" i="124"/>
  <c r="J119" i="124"/>
  <c r="L119" i="124"/>
  <c r="G119" i="124"/>
  <c r="J118" i="124"/>
  <c r="L118" i="124"/>
  <c r="G118" i="124"/>
  <c r="J117" i="124"/>
  <c r="L117" i="124"/>
  <c r="G117" i="124"/>
  <c r="J116" i="124"/>
  <c r="G116" i="124"/>
  <c r="L116" i="124"/>
  <c r="J115" i="124"/>
  <c r="L115" i="124"/>
  <c r="G115" i="124"/>
  <c r="J114" i="124"/>
  <c r="L114" i="124"/>
  <c r="G114" i="124"/>
  <c r="J113" i="124"/>
  <c r="G113" i="124"/>
  <c r="L113" i="124"/>
  <c r="J112" i="124"/>
  <c r="L112" i="124"/>
  <c r="J109" i="124"/>
  <c r="L109" i="124"/>
  <c r="J108" i="124"/>
  <c r="L108" i="124"/>
  <c r="G108" i="124"/>
  <c r="J107" i="124"/>
  <c r="L107" i="124"/>
  <c r="J106" i="124"/>
  <c r="G106" i="124"/>
  <c r="L106" i="124"/>
  <c r="J105" i="124"/>
  <c r="L105" i="124"/>
  <c r="G105" i="124"/>
  <c r="J104" i="124"/>
  <c r="G104" i="124"/>
  <c r="L104" i="124"/>
  <c r="J103" i="124"/>
  <c r="L103" i="124"/>
  <c r="J102" i="124"/>
  <c r="L102" i="124"/>
  <c r="G102" i="124"/>
  <c r="J101" i="124"/>
  <c r="L101" i="124"/>
  <c r="J100" i="124"/>
  <c r="L100" i="124"/>
  <c r="J93" i="124"/>
  <c r="G93" i="124"/>
  <c r="L93" i="124"/>
  <c r="J92" i="124"/>
  <c r="L92" i="124"/>
  <c r="G92" i="124"/>
  <c r="J91" i="124"/>
  <c r="L91" i="124"/>
  <c r="G91" i="124"/>
  <c r="J90" i="124"/>
  <c r="G90" i="124"/>
  <c r="L90" i="124"/>
  <c r="J89" i="124"/>
  <c r="L89" i="124"/>
  <c r="G89" i="124"/>
  <c r="J88" i="124"/>
  <c r="L88" i="124"/>
  <c r="G88" i="124"/>
  <c r="J87" i="124"/>
  <c r="G87" i="124"/>
  <c r="L87" i="124"/>
  <c r="J86" i="124"/>
  <c r="L86" i="124"/>
  <c r="G86" i="124"/>
  <c r="J85" i="124"/>
  <c r="L85" i="124"/>
  <c r="G85" i="124"/>
  <c r="J84" i="124"/>
  <c r="L84" i="124"/>
  <c r="G84" i="124"/>
  <c r="J83" i="124"/>
  <c r="L83" i="124"/>
  <c r="J82" i="124"/>
  <c r="G82" i="124"/>
  <c r="L82" i="124"/>
  <c r="J81" i="124"/>
  <c r="L81" i="124"/>
  <c r="J80" i="124"/>
  <c r="G80" i="124"/>
  <c r="L80" i="124"/>
  <c r="J79" i="124"/>
  <c r="G79" i="124"/>
  <c r="L79" i="124"/>
  <c r="J78" i="124"/>
  <c r="G78" i="124"/>
  <c r="L78" i="124"/>
  <c r="J77" i="124"/>
  <c r="G77" i="124"/>
  <c r="L77" i="124"/>
  <c r="J76" i="124"/>
  <c r="L76" i="124"/>
  <c r="G76" i="124"/>
  <c r="J75" i="124"/>
  <c r="L75" i="124"/>
  <c r="G75" i="124"/>
  <c r="J74" i="124"/>
  <c r="L74" i="124"/>
  <c r="G74" i="124"/>
  <c r="J71" i="124"/>
  <c r="L71" i="124"/>
  <c r="J70" i="124"/>
  <c r="G70" i="124"/>
  <c r="L70" i="124"/>
  <c r="J69" i="124"/>
  <c r="L69" i="124"/>
  <c r="J68" i="124"/>
  <c r="G68" i="124"/>
  <c r="L68" i="124"/>
  <c r="J67" i="124"/>
  <c r="L67" i="124"/>
  <c r="G67" i="124"/>
  <c r="J66" i="124"/>
  <c r="L66" i="124"/>
  <c r="G66" i="124"/>
  <c r="J65" i="124"/>
  <c r="G65" i="124"/>
  <c r="L65" i="124"/>
  <c r="J64" i="124"/>
  <c r="L64" i="124"/>
  <c r="J63" i="124"/>
  <c r="G63" i="124"/>
  <c r="L63" i="124"/>
  <c r="J62" i="124"/>
  <c r="L62" i="124"/>
  <c r="G62" i="124"/>
  <c r="J61" i="124"/>
  <c r="L61" i="124"/>
  <c r="J60" i="124"/>
  <c r="G60" i="124"/>
  <c r="L60" i="124"/>
  <c r="J59" i="124"/>
  <c r="L59" i="124"/>
  <c r="G59" i="124"/>
  <c r="J58" i="124"/>
  <c r="G58" i="124"/>
  <c r="L58" i="124"/>
  <c r="J57" i="124"/>
  <c r="L57" i="124"/>
  <c r="J56" i="124"/>
  <c r="L56" i="124"/>
  <c r="G56" i="124"/>
  <c r="J55" i="124"/>
  <c r="L55" i="124"/>
  <c r="G55" i="124"/>
  <c r="J54" i="124"/>
  <c r="L54" i="124"/>
  <c r="G54" i="124"/>
  <c r="J53" i="124"/>
  <c r="L53" i="124"/>
  <c r="J52" i="124"/>
  <c r="L52" i="124"/>
  <c r="G52" i="124"/>
  <c r="J51" i="124"/>
  <c r="L51" i="124"/>
  <c r="G51" i="124"/>
  <c r="J50" i="124"/>
  <c r="G50" i="124"/>
  <c r="L50" i="124"/>
  <c r="J49" i="124"/>
  <c r="L49" i="124"/>
  <c r="G49" i="124"/>
  <c r="J48" i="124"/>
  <c r="L48" i="124"/>
  <c r="G48" i="124"/>
  <c r="J47" i="124"/>
  <c r="G47" i="124"/>
  <c r="L47" i="124"/>
  <c r="J46" i="124"/>
  <c r="L46" i="124"/>
  <c r="G46" i="124"/>
  <c r="J45" i="124"/>
  <c r="L45" i="124"/>
  <c r="J44" i="124"/>
  <c r="L44" i="124"/>
  <c r="J43" i="124"/>
  <c r="G43" i="124"/>
  <c r="L43" i="124"/>
  <c r="J42" i="124"/>
  <c r="L42" i="124"/>
  <c r="G42" i="124"/>
  <c r="J41" i="124"/>
  <c r="L41" i="124"/>
  <c r="G41" i="124"/>
  <c r="J40" i="124"/>
  <c r="G40" i="124"/>
  <c r="L40" i="124"/>
  <c r="J39" i="124"/>
  <c r="L39" i="124"/>
  <c r="G39" i="124"/>
  <c r="J38" i="124"/>
  <c r="L38" i="124"/>
  <c r="G38" i="124"/>
  <c r="J37" i="124"/>
  <c r="L37" i="124"/>
  <c r="J36" i="124"/>
  <c r="L36" i="124"/>
  <c r="G36" i="124"/>
  <c r="J35" i="124"/>
  <c r="L35" i="124"/>
  <c r="G35" i="124"/>
  <c r="J34" i="124"/>
  <c r="L34" i="124"/>
  <c r="G34" i="124"/>
  <c r="J33" i="124"/>
  <c r="L33" i="124"/>
  <c r="J32" i="124"/>
  <c r="G32" i="124"/>
  <c r="L32" i="124"/>
  <c r="J27" i="124"/>
  <c r="L27" i="124"/>
  <c r="G27" i="124"/>
  <c r="J26" i="124"/>
  <c r="G26" i="124"/>
  <c r="L26" i="124"/>
  <c r="J25" i="124"/>
  <c r="L25" i="124"/>
  <c r="G25" i="124"/>
  <c r="J24" i="124"/>
  <c r="L24" i="124"/>
  <c r="G24" i="124"/>
  <c r="J23" i="124"/>
  <c r="G23" i="124"/>
  <c r="L23" i="124"/>
  <c r="J22" i="124"/>
  <c r="L22" i="124"/>
  <c r="M21" i="124"/>
  <c r="J21" i="124"/>
  <c r="L21" i="124"/>
  <c r="J20" i="124"/>
  <c r="G20" i="124"/>
  <c r="L20" i="124"/>
  <c r="M19" i="124"/>
  <c r="J19" i="124"/>
  <c r="G19" i="124"/>
  <c r="L19" i="124"/>
  <c r="J18" i="124"/>
  <c r="L18" i="124"/>
  <c r="G18" i="124"/>
  <c r="J17" i="124"/>
  <c r="L17" i="124"/>
  <c r="J16" i="124"/>
  <c r="L16" i="124"/>
  <c r="G16" i="124"/>
  <c r="J15" i="124"/>
  <c r="L15" i="124"/>
  <c r="G15" i="124"/>
  <c r="J14" i="124"/>
  <c r="G14" i="124"/>
  <c r="L14" i="124"/>
  <c r="J13" i="124"/>
  <c r="L13" i="124"/>
  <c r="J12" i="124"/>
  <c r="G12" i="124"/>
  <c r="L12" i="124"/>
  <c r="M11" i="124"/>
  <c r="J11" i="124"/>
  <c r="G11" i="124"/>
  <c r="L11" i="124"/>
  <c r="J10" i="124"/>
  <c r="L10" i="124"/>
  <c r="G10" i="124"/>
  <c r="M9" i="124"/>
  <c r="J9" i="124"/>
  <c r="L9" i="124"/>
  <c r="J8" i="124"/>
  <c r="G8" i="124"/>
  <c r="L8" i="124"/>
  <c r="C24" i="121"/>
  <c r="D24" i="121"/>
  <c r="J1" i="124"/>
  <c r="B39" i="120"/>
  <c r="C41" i="120"/>
  <c r="C124" i="124"/>
  <c r="C125" i="124"/>
  <c r="C39" i="120"/>
  <c r="E39" i="120"/>
  <c r="B43" i="120"/>
  <c r="C45" i="120"/>
  <c r="C43" i="120"/>
  <c r="E43" i="120"/>
  <c r="E45" i="120"/>
  <c r="B47" i="120"/>
  <c r="C49" i="120"/>
  <c r="C47" i="120"/>
  <c r="A34" i="110"/>
  <c r="E47" i="120"/>
  <c r="A38" i="1"/>
  <c r="F44" i="1"/>
  <c r="A44" i="1"/>
  <c r="D240" i="121"/>
  <c r="D239" i="121"/>
  <c r="D238" i="121"/>
  <c r="D237" i="121"/>
  <c r="D170" i="121"/>
  <c r="D151" i="121"/>
  <c r="D120" i="121"/>
  <c r="D23" i="121"/>
  <c r="E9" i="120"/>
  <c r="E10" i="120"/>
  <c r="A35" i="99"/>
  <c r="I8" i="124"/>
  <c r="O72" i="124"/>
  <c r="N72" i="124"/>
  <c r="G72" i="124"/>
  <c r="I101" i="124"/>
  <c r="I100" i="124"/>
  <c r="C23" i="121"/>
  <c r="O73" i="124"/>
  <c r="Q72" i="124"/>
  <c r="Q62" i="124"/>
  <c r="Q52" i="124"/>
  <c r="Q42" i="124"/>
  <c r="Q32" i="124"/>
  <c r="R30" i="124"/>
  <c r="R28" i="124"/>
  <c r="Q28" i="124"/>
  <c r="Q18" i="124"/>
  <c r="Q8" i="124"/>
  <c r="N73" i="124"/>
  <c r="G73" i="124"/>
  <c r="D73" i="124"/>
  <c r="D72" i="124"/>
  <c r="I67" i="124"/>
  <c r="I62" i="124"/>
  <c r="D62" i="124"/>
  <c r="I57" i="124"/>
  <c r="I52" i="124"/>
  <c r="D52" i="124"/>
  <c r="I47" i="124"/>
  <c r="I42" i="124"/>
  <c r="D42" i="124"/>
  <c r="I37" i="124"/>
  <c r="I32" i="124"/>
  <c r="D32" i="124"/>
  <c r="G30" i="124"/>
  <c r="D30" i="124"/>
  <c r="G28" i="124"/>
  <c r="D28" i="124"/>
  <c r="I23" i="124"/>
  <c r="I18" i="124"/>
  <c r="D18" i="124"/>
  <c r="I13" i="124"/>
  <c r="D8" i="124"/>
  <c r="D143" i="124"/>
  <c r="D140" i="124"/>
  <c r="D135" i="124"/>
  <c r="D132" i="124"/>
  <c r="D127" i="124"/>
  <c r="D124" i="124"/>
  <c r="D139" i="124"/>
  <c r="D138" i="124"/>
  <c r="D131" i="124"/>
  <c r="D130" i="124"/>
  <c r="D123" i="124"/>
  <c r="D122" i="124"/>
  <c r="D117" i="124"/>
  <c r="D112" i="124"/>
  <c r="D111" i="124"/>
  <c r="D110" i="124"/>
  <c r="D105" i="124"/>
  <c r="D100" i="124"/>
  <c r="D97" i="124"/>
  <c r="D94" i="124"/>
  <c r="D84" i="124"/>
  <c r="D74" i="124"/>
  <c r="D5" i="124"/>
  <c r="D2" i="124"/>
  <c r="J6" i="120"/>
  <c r="A54" i="125"/>
  <c r="A41" i="132"/>
  <c r="A43" i="108"/>
  <c r="A43" i="131"/>
  <c r="A45" i="106"/>
  <c r="A56" i="130"/>
  <c r="A58" i="88"/>
  <c r="A58" i="129"/>
  <c r="A60" i="87"/>
  <c r="A60" i="128"/>
  <c r="A62" i="85"/>
  <c r="A60" i="125"/>
  <c r="A62" i="95"/>
  <c r="I121" i="124"/>
  <c r="D25" i="132"/>
  <c r="F121" i="124"/>
  <c r="I120" i="124"/>
  <c r="D19" i="132"/>
  <c r="F118" i="124"/>
  <c r="D21" i="132"/>
  <c r="F119" i="124"/>
  <c r="D23" i="132"/>
  <c r="F120" i="124"/>
  <c r="I119" i="124"/>
  <c r="I118" i="124"/>
  <c r="Q117" i="124"/>
  <c r="I117" i="124"/>
  <c r="I116" i="124"/>
  <c r="I115" i="124"/>
  <c r="I114" i="124"/>
  <c r="I113" i="124"/>
  <c r="I112" i="124"/>
  <c r="I109" i="124"/>
  <c r="D25" i="131"/>
  <c r="F109" i="124"/>
  <c r="I108" i="124"/>
  <c r="D23" i="131"/>
  <c r="F108" i="124"/>
  <c r="I107" i="124"/>
  <c r="D21" i="131"/>
  <c r="F107" i="124"/>
  <c r="I106" i="124"/>
  <c r="D19" i="131"/>
  <c r="F106" i="124"/>
  <c r="Q105" i="124"/>
  <c r="I105" i="124"/>
  <c r="I104" i="124"/>
  <c r="I103" i="124"/>
  <c r="I102" i="124"/>
  <c r="Q112" i="124"/>
  <c r="Q100" i="124"/>
  <c r="I93" i="124"/>
  <c r="D38" i="130"/>
  <c r="F93" i="124"/>
  <c r="I92" i="124"/>
  <c r="D36" i="130"/>
  <c r="F92" i="124"/>
  <c r="I91" i="124"/>
  <c r="D34" i="130"/>
  <c r="F91" i="124"/>
  <c r="I90" i="124"/>
  <c r="D32" i="130"/>
  <c r="F90" i="124"/>
  <c r="I89" i="124"/>
  <c r="I88" i="124"/>
  <c r="D25" i="130"/>
  <c r="F88" i="124"/>
  <c r="I87" i="124"/>
  <c r="D23" i="130"/>
  <c r="F87" i="124"/>
  <c r="I86" i="124"/>
  <c r="D21" i="130"/>
  <c r="F86" i="124"/>
  <c r="I85" i="124"/>
  <c r="D19" i="130"/>
  <c r="F85" i="124"/>
  <c r="Q84" i="124"/>
  <c r="I84" i="124"/>
  <c r="I83" i="124"/>
  <c r="I82" i="124"/>
  <c r="I81" i="124"/>
  <c r="I80" i="124"/>
  <c r="I79" i="124"/>
  <c r="I78" i="124"/>
  <c r="I77" i="124"/>
  <c r="I76" i="124"/>
  <c r="I75" i="124"/>
  <c r="I74" i="124"/>
  <c r="Q74" i="124"/>
  <c r="I71" i="124"/>
  <c r="D38" i="129"/>
  <c r="F71" i="124"/>
  <c r="I70" i="124"/>
  <c r="D36" i="129"/>
  <c r="F70" i="124"/>
  <c r="I69" i="124"/>
  <c r="D34" i="129"/>
  <c r="F69" i="124"/>
  <c r="I68" i="124"/>
  <c r="D32" i="129"/>
  <c r="F68" i="124"/>
  <c r="I66" i="124"/>
  <c r="D25" i="129"/>
  <c r="F66" i="124"/>
  <c r="I65" i="124"/>
  <c r="D23" i="129"/>
  <c r="F65" i="124"/>
  <c r="I64" i="124"/>
  <c r="D21" i="129"/>
  <c r="F64" i="124"/>
  <c r="I63" i="124"/>
  <c r="D19" i="129"/>
  <c r="F63" i="124"/>
  <c r="I61" i="124"/>
  <c r="I60" i="124"/>
  <c r="I59" i="124"/>
  <c r="I58" i="124"/>
  <c r="I56" i="124"/>
  <c r="I55" i="124"/>
  <c r="I54" i="124"/>
  <c r="I53" i="124"/>
  <c r="I51" i="124"/>
  <c r="D38" i="128"/>
  <c r="F51" i="124"/>
  <c r="I50" i="124"/>
  <c r="D36" i="128"/>
  <c r="F50" i="124"/>
  <c r="I49" i="124"/>
  <c r="D34" i="128"/>
  <c r="F49" i="124"/>
  <c r="I48" i="124"/>
  <c r="D32" i="128"/>
  <c r="F48" i="124"/>
  <c r="I46" i="124"/>
  <c r="D25" i="128"/>
  <c r="F46" i="124"/>
  <c r="I45" i="124"/>
  <c r="D23" i="128"/>
  <c r="F45" i="124"/>
  <c r="I44" i="124"/>
  <c r="D21" i="128"/>
  <c r="F44" i="124"/>
  <c r="I43" i="124"/>
  <c r="D19" i="128"/>
  <c r="F43" i="124"/>
  <c r="I41" i="124"/>
  <c r="I40" i="124"/>
  <c r="I39" i="124"/>
  <c r="I38" i="124"/>
  <c r="I36" i="124"/>
  <c r="I35" i="124"/>
  <c r="I34" i="124"/>
  <c r="I33" i="124"/>
  <c r="D38" i="125"/>
  <c r="F27" i="124"/>
  <c r="D36" i="125"/>
  <c r="F26" i="124"/>
  <c r="D34" i="125"/>
  <c r="F25" i="124"/>
  <c r="D32" i="125"/>
  <c r="F24" i="124"/>
  <c r="D25" i="125"/>
  <c r="F22" i="124"/>
  <c r="D23" i="125"/>
  <c r="F21" i="124"/>
  <c r="D19" i="125"/>
  <c r="F19" i="124"/>
  <c r="D21" i="125"/>
  <c r="F20" i="124"/>
  <c r="I27" i="124"/>
  <c r="I26" i="124"/>
  <c r="I25" i="124"/>
  <c r="I24" i="124"/>
  <c r="I22" i="124"/>
  <c r="I21" i="124"/>
  <c r="I20" i="124"/>
  <c r="I19" i="124"/>
  <c r="I17" i="124"/>
  <c r="I16" i="124"/>
  <c r="I15" i="124"/>
  <c r="I14" i="124"/>
  <c r="I12" i="124"/>
  <c r="I11" i="124"/>
  <c r="I10" i="124"/>
  <c r="I9" i="124"/>
  <c r="A47" i="132"/>
  <c r="C110" i="121"/>
  <c r="C112" i="121"/>
  <c r="A47" i="131"/>
  <c r="C108" i="121"/>
  <c r="A60" i="130"/>
  <c r="A60" i="129"/>
  <c r="A1" i="120"/>
  <c r="C19" i="103"/>
  <c r="C170" i="121"/>
  <c r="Q146" i="124"/>
  <c r="Q138" i="124"/>
  <c r="Q130" i="124"/>
  <c r="Q122" i="124"/>
  <c r="G139" i="124"/>
  <c r="G138" i="124"/>
  <c r="G131" i="124"/>
  <c r="G130" i="124"/>
  <c r="G123" i="124"/>
  <c r="G122" i="124"/>
  <c r="G111" i="124"/>
  <c r="G31" i="124"/>
  <c r="Q110" i="124"/>
  <c r="G110" i="124"/>
  <c r="G145" i="124"/>
  <c r="G144" i="124"/>
  <c r="Q143" i="124"/>
  <c r="G143" i="124"/>
  <c r="G142" i="124"/>
  <c r="G141" i="124"/>
  <c r="Q140" i="124"/>
  <c r="G140" i="124"/>
  <c r="G137" i="124"/>
  <c r="G136" i="124"/>
  <c r="Q135" i="124"/>
  <c r="G135" i="124"/>
  <c r="G134" i="124"/>
  <c r="G133" i="124"/>
  <c r="Q132" i="124"/>
  <c r="G132" i="124"/>
  <c r="G129" i="124"/>
  <c r="G128" i="124"/>
  <c r="Q127" i="124"/>
  <c r="G127" i="124"/>
  <c r="G126" i="124"/>
  <c r="G125" i="124"/>
  <c r="G124" i="124"/>
  <c r="Q124" i="124"/>
  <c r="Q97" i="124"/>
  <c r="Q94" i="124"/>
  <c r="G99" i="124"/>
  <c r="G98" i="124"/>
  <c r="G97" i="124"/>
  <c r="G96" i="124"/>
  <c r="G95" i="124"/>
  <c r="G94" i="124"/>
  <c r="G7" i="124"/>
  <c r="G6" i="124"/>
  <c r="G5" i="124"/>
  <c r="Q5" i="124"/>
  <c r="Q2" i="124"/>
  <c r="G4" i="124"/>
  <c r="G3" i="124"/>
  <c r="G2" i="124"/>
  <c r="G29" i="124"/>
  <c r="S28" i="124"/>
  <c r="C151" i="121"/>
  <c r="C120" i="121"/>
  <c r="E19" i="120"/>
  <c r="A27" i="93"/>
  <c r="E44" i="120"/>
  <c r="A25" i="114"/>
  <c r="H30" i="120"/>
  <c r="A33" i="105"/>
  <c r="A33" i="104"/>
  <c r="F36" i="1"/>
  <c r="C15" i="100"/>
  <c r="C15" i="89"/>
  <c r="E26" i="110"/>
  <c r="E29" i="109"/>
  <c r="E31" i="103"/>
  <c r="E24" i="102"/>
  <c r="E23" i="89"/>
  <c r="E28" i="91"/>
  <c r="E23" i="100"/>
  <c r="A27" i="101"/>
  <c r="E27" i="101"/>
  <c r="H9" i="120"/>
  <c r="A36" i="99"/>
  <c r="E25" i="94"/>
  <c r="E27" i="93"/>
  <c r="E24" i="92"/>
  <c r="C17" i="110"/>
  <c r="C17" i="101"/>
  <c r="C17" i="93"/>
  <c r="H29" i="120"/>
  <c r="A35" i="104"/>
  <c r="A39" i="104"/>
  <c r="J9" i="120"/>
  <c r="A38" i="99"/>
  <c r="A42" i="99"/>
  <c r="E32" i="91"/>
  <c r="E30" i="91"/>
  <c r="E26" i="92"/>
  <c r="V51" i="120"/>
  <c r="A38" i="115"/>
  <c r="A36" i="118"/>
  <c r="A36" i="116"/>
  <c r="A38" i="113"/>
  <c r="A28" i="114"/>
  <c r="A30" i="111"/>
  <c r="A28" i="107"/>
  <c r="E36" i="110"/>
  <c r="E34" i="110"/>
  <c r="E32" i="110"/>
  <c r="E30" i="110"/>
  <c r="E28" i="110"/>
  <c r="E37" i="103"/>
  <c r="E35" i="103"/>
  <c r="E33" i="103"/>
  <c r="A29" i="101"/>
  <c r="E29" i="101"/>
  <c r="E29" i="93"/>
  <c r="A33" i="90"/>
  <c r="L4" i="120"/>
  <c r="A37" i="96"/>
  <c r="A39" i="97"/>
  <c r="A41" i="96"/>
  <c r="F42" i="1"/>
  <c r="F40" i="1"/>
  <c r="F38" i="1"/>
  <c r="A37" i="105"/>
  <c r="A40" i="112"/>
  <c r="E30" i="120"/>
  <c r="H25" i="120"/>
  <c r="J19" i="120"/>
  <c r="L15" i="120"/>
  <c r="J15" i="120"/>
  <c r="J10" i="120"/>
  <c r="H10" i="120"/>
  <c r="J7" i="120"/>
  <c r="H7" i="120"/>
  <c r="J5" i="120"/>
  <c r="J31" i="120"/>
  <c r="A43" i="106"/>
  <c r="H35" i="120"/>
  <c r="C84" i="124"/>
  <c r="J22" i="120"/>
  <c r="A33" i="103"/>
  <c r="C5" i="124"/>
  <c r="C7" i="124"/>
  <c r="E5" i="120"/>
  <c r="E7" i="120"/>
  <c r="C105" i="124"/>
  <c r="C107" i="124"/>
  <c r="A31" i="96"/>
  <c r="J40" i="120"/>
  <c r="J25" i="120"/>
  <c r="U2" i="120"/>
  <c r="C94" i="124"/>
  <c r="N5" i="120"/>
  <c r="N7" i="120"/>
  <c r="J23" i="120"/>
  <c r="J42" i="120"/>
  <c r="L9" i="120"/>
  <c r="A40" i="99"/>
  <c r="J30" i="120"/>
  <c r="A35" i="105"/>
  <c r="H43" i="120"/>
  <c r="A26" i="114"/>
  <c r="H6" i="120"/>
  <c r="L6" i="120"/>
  <c r="A56" i="125"/>
  <c r="L19" i="120"/>
  <c r="A30" i="110"/>
  <c r="H4" i="120"/>
  <c r="L18" i="120"/>
  <c r="A58" i="87"/>
  <c r="A56" i="129"/>
  <c r="C9" i="120"/>
  <c r="C28" i="124"/>
  <c r="C29" i="124"/>
  <c r="L5" i="120"/>
  <c r="L7" i="120"/>
  <c r="L10" i="120"/>
  <c r="H23" i="120"/>
  <c r="H34" i="120"/>
  <c r="N4" i="120"/>
  <c r="J4" i="120"/>
  <c r="A36" i="110"/>
  <c r="E32" i="120"/>
  <c r="C100" i="124"/>
  <c r="C103" i="124"/>
  <c r="C123" i="124"/>
  <c r="B196" i="121"/>
  <c r="A56" i="95"/>
  <c r="C126" i="124"/>
  <c r="G81" i="124"/>
  <c r="C140" i="124"/>
  <c r="C142" i="124"/>
  <c r="C138" i="124"/>
  <c r="G9" i="124"/>
  <c r="G17" i="124"/>
  <c r="G37" i="124"/>
  <c r="G45" i="124"/>
  <c r="G53" i="124"/>
  <c r="G61" i="124"/>
  <c r="G69" i="124"/>
  <c r="G101" i="124"/>
  <c r="G109" i="124"/>
  <c r="AC4" i="120"/>
  <c r="A41" i="131"/>
  <c r="C106" i="124"/>
  <c r="C109" i="124"/>
  <c r="A51" i="129"/>
  <c r="A31" i="97"/>
  <c r="A33" i="96"/>
  <c r="C96" i="124"/>
  <c r="C95" i="124"/>
  <c r="C101" i="124"/>
  <c r="C102" i="124"/>
  <c r="C104" i="124"/>
  <c r="A37" i="97"/>
  <c r="A39" i="96"/>
  <c r="S13" i="120"/>
  <c r="AE6" i="120"/>
  <c r="Z8" i="120"/>
  <c r="U8" i="120"/>
  <c r="C141" i="124"/>
  <c r="C87" i="124"/>
  <c r="C89" i="124"/>
  <c r="C88" i="124"/>
  <c r="E35" i="120"/>
  <c r="E34" i="120"/>
  <c r="A25" i="107"/>
  <c r="C35" i="120"/>
  <c r="A43" i="132"/>
  <c r="G57" i="124"/>
  <c r="G103" i="124"/>
  <c r="C18" i="120"/>
  <c r="C52" i="124"/>
  <c r="H15" i="120"/>
  <c r="H14" i="120"/>
  <c r="A30" i="91"/>
  <c r="C62" i="124"/>
  <c r="A58" i="95"/>
  <c r="C86" i="124"/>
  <c r="E49" i="120"/>
  <c r="E48" i="120"/>
  <c r="A25" i="117"/>
  <c r="H39" i="120"/>
  <c r="A26" i="111"/>
  <c r="H42" i="120"/>
  <c r="C131" i="124"/>
  <c r="C132" i="124"/>
  <c r="C135" i="124"/>
  <c r="A32" i="110"/>
  <c r="S2" i="120"/>
  <c r="V2" i="120"/>
  <c r="E7" i="92"/>
  <c r="C2" i="124"/>
  <c r="C3" i="124"/>
  <c r="C4" i="124"/>
  <c r="A36" i="1"/>
  <c r="X4" i="120"/>
  <c r="U3" i="120"/>
  <c r="X6" i="120"/>
  <c r="U17" i="120"/>
  <c r="U13" i="120"/>
  <c r="V13" i="120"/>
  <c r="E7" i="89"/>
  <c r="S3" i="120"/>
  <c r="V3" i="120"/>
  <c r="E7" i="93"/>
  <c r="C18" i="124"/>
  <c r="AE4" i="120"/>
  <c r="AF4" i="120"/>
  <c r="Z4" i="120"/>
  <c r="Z24" i="120"/>
  <c r="X8" i="120"/>
  <c r="AA8" i="120"/>
  <c r="G7" i="99"/>
  <c r="U12" i="120"/>
  <c r="C32" i="124"/>
  <c r="A28" i="91"/>
  <c r="C14" i="120"/>
  <c r="S17" i="120"/>
  <c r="V17" i="120"/>
  <c r="E7" i="100"/>
  <c r="AC31" i="120"/>
  <c r="AC22" i="120"/>
  <c r="X22" i="120"/>
  <c r="X14" i="120"/>
  <c r="X24" i="120"/>
  <c r="AA24" i="120"/>
  <c r="AC18" i="120"/>
  <c r="AC29" i="120"/>
  <c r="A54" i="95"/>
  <c r="A52" i="125"/>
  <c r="A51" i="128"/>
  <c r="A51" i="125"/>
  <c r="A39" i="132"/>
  <c r="A41" i="108"/>
  <c r="A34" i="115"/>
  <c r="E46" i="120"/>
  <c r="S12" i="120"/>
  <c r="V12" i="120"/>
  <c r="E7" i="91"/>
  <c r="S8" i="120"/>
  <c r="V8" i="120"/>
  <c r="E7" i="94"/>
  <c r="C8" i="124"/>
  <c r="A26" i="107"/>
  <c r="A54" i="130"/>
  <c r="A31" i="90"/>
  <c r="A56" i="88"/>
  <c r="AC6" i="120"/>
  <c r="AF6" i="120"/>
  <c r="S27" i="120"/>
  <c r="Z18" i="120"/>
  <c r="Z6" i="120"/>
  <c r="Z22" i="120"/>
  <c r="A51" i="130"/>
  <c r="C108" i="124"/>
  <c r="C85" i="124"/>
  <c r="C6" i="124"/>
  <c r="C111" i="124"/>
  <c r="C30" i="124"/>
  <c r="C31" i="124"/>
  <c r="A35" i="96"/>
  <c r="A33" i="97"/>
  <c r="H41" i="120"/>
  <c r="A35" i="97"/>
  <c r="H40" i="120"/>
  <c r="A52" i="85"/>
  <c r="E41" i="120"/>
  <c r="E40" i="120"/>
  <c r="A25" i="111"/>
  <c r="A28" i="110"/>
  <c r="A26" i="110"/>
  <c r="G13" i="124"/>
  <c r="G22" i="124"/>
  <c r="G44" i="124"/>
  <c r="G64" i="124"/>
  <c r="G100" i="124"/>
  <c r="G112" i="124"/>
  <c r="A35" i="103"/>
  <c r="H32" i="120"/>
  <c r="C127" i="124"/>
  <c r="E23" i="120"/>
  <c r="A28" i="90"/>
  <c r="G29" i="90"/>
  <c r="C110" i="124"/>
  <c r="A52" i="88"/>
  <c r="H31" i="120"/>
  <c r="H44" i="120"/>
  <c r="J39" i="120"/>
  <c r="A28" i="111"/>
  <c r="H45" i="120"/>
  <c r="H46" i="120"/>
  <c r="J41" i="120"/>
  <c r="G21" i="124"/>
  <c r="G33" i="124"/>
  <c r="G71" i="124"/>
  <c r="G83" i="124"/>
  <c r="G107" i="124"/>
  <c r="J24" i="120"/>
  <c r="H36" i="120"/>
  <c r="J29" i="120"/>
  <c r="A37" i="104"/>
  <c r="H33" i="120"/>
  <c r="N14" i="120"/>
  <c r="N6" i="120"/>
  <c r="N15" i="120"/>
  <c r="C130" i="124"/>
  <c r="C139" i="124"/>
  <c r="C122" i="124"/>
  <c r="J32" i="120"/>
  <c r="A42" i="1"/>
  <c r="A26" i="92"/>
  <c r="H5" i="120"/>
  <c r="C72" i="124"/>
  <c r="H18" i="120"/>
  <c r="A32" i="91"/>
  <c r="H19" i="120"/>
  <c r="C74" i="124"/>
  <c r="J14" i="120"/>
  <c r="A40" i="1"/>
  <c r="L14" i="120"/>
  <c r="H24" i="120"/>
  <c r="H22" i="120"/>
  <c r="C97" i="124"/>
  <c r="J18" i="120"/>
  <c r="H19" i="124"/>
  <c r="H9" i="124"/>
  <c r="H21" i="124"/>
  <c r="H39" i="124"/>
  <c r="H90" i="124"/>
  <c r="H75" i="124"/>
  <c r="H85" i="124"/>
  <c r="B34" i="121"/>
  <c r="A22" i="134"/>
  <c r="B252" i="121"/>
  <c r="A10" i="98"/>
  <c r="B235" i="121"/>
  <c r="B13" i="121"/>
  <c r="A17" i="2"/>
  <c r="B254" i="121"/>
  <c r="A16" i="98"/>
  <c r="B250" i="121"/>
  <c r="K8" i="119"/>
  <c r="B251" i="121"/>
  <c r="B26" i="121"/>
  <c r="B58" i="121"/>
  <c r="B208" i="121"/>
  <c r="B197" i="121"/>
  <c r="A16" i="111"/>
  <c r="B249" i="121"/>
  <c r="K8" i="118"/>
  <c r="B92" i="121"/>
  <c r="A12" i="110"/>
  <c r="B116" i="121"/>
  <c r="A10" i="1"/>
  <c r="B38" i="121"/>
  <c r="A32" i="134"/>
  <c r="B255" i="121"/>
  <c r="B76" i="121"/>
  <c r="A26" i="91"/>
  <c r="B209" i="121"/>
  <c r="A16" i="117"/>
  <c r="B111" i="121"/>
  <c r="B100" i="124"/>
  <c r="B105" i="124"/>
  <c r="B106" i="124"/>
  <c r="B107" i="124"/>
  <c r="B108" i="124"/>
  <c r="B109" i="124"/>
  <c r="B200" i="121"/>
  <c r="A19" i="111"/>
  <c r="G33" i="96"/>
  <c r="H56" i="124"/>
  <c r="G35" i="96"/>
  <c r="E143" i="124"/>
  <c r="G41" i="96"/>
  <c r="G30" i="111"/>
  <c r="H38" i="113"/>
  <c r="H69" i="124"/>
  <c r="H103" i="124"/>
  <c r="B30" i="121"/>
  <c r="B212" i="121"/>
  <c r="A23" i="118"/>
  <c r="B185" i="121"/>
  <c r="A23" i="90"/>
  <c r="B86" i="121"/>
  <c r="C11" i="103"/>
  <c r="B140" i="121"/>
  <c r="A13" i="95"/>
  <c r="B44" i="121"/>
  <c r="B3" i="109"/>
  <c r="B152" i="121"/>
  <c r="A28" i="99"/>
  <c r="B14" i="121"/>
  <c r="A18" i="2"/>
  <c r="E2" i="124"/>
  <c r="B84" i="121"/>
  <c r="B170" i="121"/>
  <c r="D27" i="104"/>
  <c r="B81" i="121"/>
  <c r="A27" i="109"/>
  <c r="B83" i="121"/>
  <c r="E22" i="91"/>
  <c r="B7" i="121"/>
  <c r="A9" i="2"/>
  <c r="B118" i="121"/>
  <c r="D15" i="1"/>
  <c r="B138" i="121"/>
  <c r="B63" i="121"/>
  <c r="B248" i="121"/>
  <c r="K8" i="116"/>
  <c r="G33" i="97"/>
  <c r="H13" i="124"/>
  <c r="H33" i="124"/>
  <c r="H89" i="124"/>
  <c r="H41" i="124"/>
  <c r="E37" i="104"/>
  <c r="B231" i="121"/>
  <c r="E8" i="100"/>
  <c r="B151" i="121"/>
  <c r="A27" i="99"/>
  <c r="B62" i="121"/>
  <c r="B8" i="121"/>
  <c r="A10" i="2"/>
  <c r="B165" i="121"/>
  <c r="B29" i="121"/>
  <c r="A12" i="134"/>
  <c r="B55" i="121"/>
  <c r="B95" i="121"/>
  <c r="A16" i="93"/>
  <c r="B257" i="121"/>
  <c r="B172" i="121"/>
  <c r="D19" i="90"/>
  <c r="H19" i="90"/>
  <c r="H34" i="118"/>
  <c r="E130" i="124"/>
  <c r="H47" i="124"/>
  <c r="H67" i="124"/>
  <c r="H70" i="124"/>
  <c r="G26" i="114"/>
  <c r="E140" i="124"/>
  <c r="H118" i="124"/>
  <c r="H40" i="124"/>
  <c r="H22" i="124"/>
  <c r="E97" i="124"/>
  <c r="H78" i="124"/>
  <c r="H79" i="124"/>
  <c r="H100" i="124"/>
  <c r="H38" i="124"/>
  <c r="H112" i="124"/>
  <c r="H38" i="115"/>
  <c r="E132" i="124"/>
  <c r="E37" i="105"/>
  <c r="H82" i="124"/>
  <c r="H104" i="124"/>
  <c r="H14" i="124"/>
  <c r="E94" i="124"/>
  <c r="E33" i="104"/>
  <c r="E35" i="104"/>
  <c r="E127" i="124"/>
  <c r="H34" i="113"/>
  <c r="G31" i="97"/>
  <c r="G37" i="97"/>
  <c r="H12" i="124"/>
  <c r="G39" i="97"/>
  <c r="G28" i="107"/>
  <c r="H36" i="113"/>
  <c r="G26" i="107"/>
  <c r="H34" i="116"/>
  <c r="E5" i="124"/>
  <c r="E135" i="124"/>
  <c r="H107" i="124"/>
  <c r="H109" i="124"/>
  <c r="H17" i="124"/>
  <c r="H36" i="124"/>
  <c r="H57" i="124"/>
  <c r="H108" i="124"/>
  <c r="H115" i="124"/>
  <c r="H116" i="124"/>
  <c r="H42" i="124"/>
  <c r="H27" i="124"/>
  <c r="H46" i="124"/>
  <c r="H55" i="124"/>
  <c r="H83" i="124"/>
  <c r="H91" i="124"/>
  <c r="H87" i="124"/>
  <c r="H119" i="124"/>
  <c r="A19" i="114"/>
  <c r="A23" i="116"/>
  <c r="A23" i="115"/>
  <c r="B48" i="121"/>
  <c r="B46" i="121"/>
  <c r="B236" i="121"/>
  <c r="I8" i="99"/>
  <c r="B72" i="121"/>
  <c r="A20" i="92"/>
  <c r="B64" i="121"/>
  <c r="B125" i="121"/>
  <c r="A29" i="104"/>
  <c r="B186" i="121"/>
  <c r="A10" i="107"/>
  <c r="B199" i="121"/>
  <c r="A12" i="113"/>
  <c r="B91" i="121"/>
  <c r="A16" i="103"/>
  <c r="B21" i="121"/>
  <c r="A31" i="2"/>
  <c r="B121" i="121"/>
  <c r="B228" i="121"/>
  <c r="B66" i="121"/>
  <c r="A28" i="1"/>
  <c r="B32" i="121"/>
  <c r="A18" i="134"/>
  <c r="B246" i="121"/>
  <c r="K8" i="113"/>
  <c r="B144" i="121"/>
  <c r="B239" i="121"/>
  <c r="B240" i="121"/>
  <c r="B191" i="121"/>
  <c r="B164" i="121"/>
  <c r="B99" i="121"/>
  <c r="A23" i="94"/>
  <c r="B16" i="121"/>
  <c r="B47" i="121"/>
  <c r="B166" i="121"/>
  <c r="B161" i="121"/>
  <c r="B70" i="121"/>
  <c r="C28" i="1"/>
  <c r="B175" i="121"/>
  <c r="B59" i="121"/>
  <c r="B94" i="121"/>
  <c r="B145" i="121"/>
  <c r="B127" i="121"/>
  <c r="B256" i="121"/>
  <c r="G20" i="98"/>
  <c r="B18" i="121"/>
  <c r="A23" i="2"/>
  <c r="B87" i="121"/>
  <c r="B155" i="121"/>
  <c r="B19" i="121"/>
  <c r="A26" i="2"/>
  <c r="B223" i="121"/>
  <c r="C33" i="2"/>
  <c r="B198" i="121"/>
  <c r="A12" i="112"/>
  <c r="B141" i="121"/>
  <c r="B53" i="121"/>
  <c r="A24" i="1"/>
  <c r="B124" i="121"/>
  <c r="B205" i="121"/>
  <c r="A12" i="116"/>
  <c r="B243" i="121"/>
  <c r="I8" i="104"/>
  <c r="B69" i="121"/>
  <c r="A34" i="1"/>
  <c r="B20" i="121"/>
  <c r="A30" i="2"/>
  <c r="B241" i="121"/>
  <c r="I8" i="107"/>
  <c r="B132" i="121"/>
  <c r="B201" i="121"/>
  <c r="B162" i="121"/>
  <c r="B57" i="121"/>
  <c r="B210" i="121"/>
  <c r="A12" i="118"/>
  <c r="B134" i="121"/>
  <c r="A12" i="105"/>
  <c r="B142" i="121"/>
  <c r="B143" i="121"/>
  <c r="B51" i="121"/>
  <c r="A20" i="1"/>
  <c r="B190" i="121"/>
  <c r="B149" i="121"/>
  <c r="B148" i="121"/>
  <c r="A11" i="99"/>
  <c r="B167" i="121"/>
  <c r="B154" i="121"/>
  <c r="A22" i="99"/>
  <c r="B129" i="121"/>
  <c r="B226" i="121"/>
  <c r="F8" i="1"/>
  <c r="B147" i="121"/>
  <c r="A10" i="99"/>
  <c r="B85" i="121"/>
  <c r="B213" i="121"/>
  <c r="B233" i="121"/>
  <c r="B35" i="121"/>
  <c r="A24" i="134"/>
  <c r="B45" i="121"/>
  <c r="B258" i="121"/>
  <c r="B93" i="121"/>
  <c r="A14" i="110"/>
  <c r="B230" i="121"/>
  <c r="B224" i="121"/>
  <c r="B177" i="121"/>
  <c r="B23" i="121"/>
  <c r="B49" i="121"/>
  <c r="A16" i="1"/>
  <c r="B122" i="121"/>
  <c r="B171" i="121"/>
  <c r="B150" i="121"/>
  <c r="B37" i="121"/>
  <c r="A30" i="134"/>
  <c r="B176" i="121"/>
  <c r="B107" i="121"/>
  <c r="B126" i="121"/>
  <c r="B211" i="121"/>
  <c r="A12" i="119"/>
  <c r="B52" i="121"/>
  <c r="A22" i="1"/>
  <c r="B112" i="121"/>
  <c r="B217" i="121"/>
  <c r="B15" i="121"/>
  <c r="A20" i="2"/>
  <c r="B202" i="121"/>
  <c r="B135" i="121"/>
  <c r="B78" i="121"/>
  <c r="A22" i="102"/>
  <c r="B128" i="121"/>
  <c r="B79" i="121"/>
  <c r="A23" i="109"/>
  <c r="B104" i="121"/>
  <c r="B193" i="121"/>
  <c r="B100" i="121"/>
  <c r="A23" i="101"/>
  <c r="B237" i="121"/>
  <c r="I8" i="90"/>
  <c r="B234" i="121"/>
  <c r="B119" i="121"/>
  <c r="B103" i="121"/>
  <c r="A23" i="110"/>
  <c r="B192" i="121"/>
  <c r="B108" i="121"/>
  <c r="B36" i="121"/>
  <c r="A28" i="134"/>
  <c r="B40" i="121"/>
  <c r="A36" i="134"/>
  <c r="B195" i="121"/>
  <c r="B131" i="121"/>
  <c r="B133" i="121"/>
  <c r="A12" i="104"/>
  <c r="B184" i="121"/>
  <c r="B136" i="121"/>
  <c r="B130" i="121"/>
  <c r="B10" i="121"/>
  <c r="A13" i="2"/>
  <c r="B169" i="121"/>
  <c r="B203" i="121"/>
  <c r="A16" i="114"/>
  <c r="B67" i="121"/>
  <c r="A30" i="1"/>
  <c r="B43" i="121"/>
  <c r="B173" i="121"/>
  <c r="B227" i="121"/>
  <c r="B33" i="121"/>
  <c r="A20" i="134"/>
  <c r="B50" i="121"/>
  <c r="A18" i="1"/>
  <c r="B113" i="121"/>
  <c r="B105" i="121"/>
  <c r="B110" i="121"/>
  <c r="B39" i="121"/>
  <c r="A34" i="134"/>
  <c r="B109" i="121"/>
  <c r="B159" i="121"/>
  <c r="B17" i="121"/>
  <c r="B183" i="121"/>
  <c r="A17" i="90"/>
  <c r="B219" i="121"/>
  <c r="C27" i="1"/>
  <c r="B153" i="121"/>
  <c r="B146" i="121"/>
  <c r="B157" i="121"/>
  <c r="B12" i="121"/>
  <c r="A16" i="2"/>
  <c r="B24" i="121"/>
  <c r="B11" i="121"/>
  <c r="A15" i="2"/>
  <c r="B204" i="121"/>
  <c r="A12" i="115"/>
  <c r="B244" i="121"/>
  <c r="I8" i="105"/>
  <c r="B42" i="121"/>
  <c r="B182" i="121"/>
  <c r="B31" i="121"/>
  <c r="A16" i="134"/>
  <c r="B207" i="121"/>
  <c r="B187" i="121"/>
  <c r="A16" i="107"/>
  <c r="B97" i="121"/>
  <c r="B60" i="121"/>
  <c r="B253" i="121"/>
  <c r="B163" i="121"/>
  <c r="B181" i="121"/>
  <c r="A10" i="90"/>
  <c r="B220" i="121"/>
  <c r="B74" i="121"/>
  <c r="A22" i="91"/>
  <c r="B90" i="121"/>
  <c r="A12" i="101"/>
  <c r="B242" i="121"/>
  <c r="B80" i="121"/>
  <c r="A25" i="109"/>
  <c r="B232" i="121"/>
  <c r="I8" i="96"/>
  <c r="B221" i="121"/>
  <c r="B25" i="121"/>
  <c r="B101" i="121"/>
  <c r="A29" i="103"/>
  <c r="B75" i="121"/>
  <c r="A24" i="91"/>
  <c r="B77" i="121"/>
  <c r="A20" i="102"/>
  <c r="B238" i="121"/>
  <c r="B188" i="121"/>
  <c r="A19" i="107"/>
  <c r="B218" i="121"/>
  <c r="B88" i="121"/>
  <c r="B194" i="121"/>
  <c r="B158" i="121"/>
  <c r="B222" i="121"/>
  <c r="C12" i="122"/>
  <c r="B229" i="121"/>
  <c r="B120" i="121"/>
  <c r="B73" i="121"/>
  <c r="A22" i="92"/>
  <c r="B168" i="121"/>
  <c r="B225" i="121"/>
  <c r="F8" i="134"/>
  <c r="B117" i="121"/>
  <c r="A11" i="1"/>
  <c r="B89" i="121"/>
  <c r="A12" i="94"/>
  <c r="B139" i="121"/>
  <c r="B160" i="121"/>
  <c r="B6" i="121"/>
  <c r="A7" i="2"/>
  <c r="B9" i="121"/>
  <c r="A11" i="2"/>
  <c r="B247" i="121"/>
  <c r="K8" i="115"/>
  <c r="B28" i="121"/>
  <c r="A10" i="134"/>
  <c r="B245" i="121"/>
  <c r="K8" i="112"/>
  <c r="B56" i="121"/>
  <c r="B102" i="121"/>
  <c r="B27" i="121"/>
  <c r="B96" i="121"/>
  <c r="B98" i="121"/>
  <c r="A21" i="94"/>
  <c r="B61" i="121"/>
  <c r="B68" i="121"/>
  <c r="A32" i="1"/>
  <c r="H48" i="124"/>
  <c r="H52" i="124"/>
  <c r="H10" i="124"/>
  <c r="G40" i="99"/>
  <c r="E28" i="124"/>
  <c r="H20" i="124"/>
  <c r="H84" i="124"/>
  <c r="H68" i="124"/>
  <c r="G37" i="96"/>
  <c r="H24" i="124"/>
  <c r="H51" i="124"/>
  <c r="H59" i="124"/>
  <c r="H62" i="124"/>
  <c r="G31" i="96"/>
  <c r="H38" i="112"/>
  <c r="H36" i="115"/>
  <c r="H34" i="115"/>
  <c r="H16" i="124"/>
  <c r="H35" i="124"/>
  <c r="H66" i="124"/>
  <c r="H113" i="124"/>
  <c r="H120" i="124"/>
  <c r="G38" i="99"/>
  <c r="H40" i="112"/>
  <c r="E35" i="105"/>
  <c r="H34" i="112"/>
  <c r="E124" i="124"/>
  <c r="H37" i="124"/>
  <c r="H88" i="124"/>
  <c r="G42" i="99"/>
  <c r="H18" i="124"/>
  <c r="H32" i="124"/>
  <c r="H49" i="124"/>
  <c r="H50" i="124"/>
  <c r="H64" i="124"/>
  <c r="H77" i="124"/>
  <c r="H86" i="124"/>
  <c r="H92" i="124"/>
  <c r="H105" i="124"/>
  <c r="H23" i="124"/>
  <c r="H8" i="124"/>
  <c r="H43" i="124"/>
  <c r="H58" i="124"/>
  <c r="G33" i="90"/>
  <c r="H101" i="124"/>
  <c r="H106" i="124"/>
  <c r="H117" i="124"/>
  <c r="H15" i="124"/>
  <c r="H25" i="124"/>
  <c r="H26" i="124"/>
  <c r="H34" i="124"/>
  <c r="H44" i="124"/>
  <c r="H45" i="124"/>
  <c r="H60" i="124"/>
  <c r="H54" i="124"/>
  <c r="H71" i="124"/>
  <c r="H65" i="124"/>
  <c r="H76" i="124"/>
  <c r="H81" i="124"/>
  <c r="H93" i="124"/>
  <c r="H102" i="124"/>
  <c r="H114" i="124"/>
  <c r="H121" i="124"/>
  <c r="H53" i="124"/>
  <c r="H61" i="124"/>
  <c r="H63" i="124"/>
  <c r="H80" i="124"/>
  <c r="H74" i="124"/>
  <c r="E122" i="124"/>
  <c r="E104" i="124"/>
  <c r="E116" i="124"/>
  <c r="H72" i="124"/>
  <c r="G28" i="111"/>
  <c r="G26" i="117"/>
  <c r="H7" i="125"/>
  <c r="G7" i="97"/>
  <c r="C117" i="124"/>
  <c r="A37" i="103"/>
  <c r="A52" i="130"/>
  <c r="A29" i="90"/>
  <c r="A54" i="88"/>
  <c r="A56" i="85"/>
  <c r="A54" i="128"/>
  <c r="A52" i="129"/>
  <c r="A54" i="87"/>
  <c r="X35" i="120"/>
  <c r="E42" i="120"/>
  <c r="A34" i="112"/>
  <c r="A34" i="113"/>
  <c r="A36" i="112"/>
  <c r="X43" i="120"/>
  <c r="Z43" i="120"/>
  <c r="AA43" i="120"/>
  <c r="G7" i="114"/>
  <c r="AE35" i="120"/>
  <c r="AA22" i="120"/>
  <c r="X31" i="120"/>
  <c r="Z31" i="120"/>
  <c r="AA31" i="120"/>
  <c r="H7" i="106"/>
  <c r="AC41" i="120"/>
  <c r="U39" i="120"/>
  <c r="Z14" i="120"/>
  <c r="C42" i="124"/>
  <c r="AC14" i="120"/>
  <c r="AE45" i="120"/>
  <c r="X39" i="120"/>
  <c r="X18" i="120"/>
  <c r="AA18" i="120"/>
  <c r="H7" i="87"/>
  <c r="AE29" i="120"/>
  <c r="AF29" i="120"/>
  <c r="G7" i="105"/>
  <c r="S28" i="120"/>
  <c r="S21" i="120"/>
  <c r="X29" i="120"/>
  <c r="Z29" i="120"/>
  <c r="AA29" i="120"/>
  <c r="G7" i="104"/>
  <c r="Z47" i="120"/>
  <c r="AE22" i="120"/>
  <c r="S39" i="120"/>
  <c r="V39" i="120"/>
  <c r="E7" i="110"/>
  <c r="C22" i="124"/>
  <c r="C19" i="124"/>
  <c r="C23" i="124"/>
  <c r="C20" i="124"/>
  <c r="C21" i="124"/>
  <c r="U28" i="120"/>
  <c r="U27" i="120"/>
  <c r="U21" i="120"/>
  <c r="AC45" i="120"/>
  <c r="AF45" i="120"/>
  <c r="H7" i="116"/>
  <c r="C137" i="124"/>
  <c r="C136" i="124"/>
  <c r="AE31" i="120"/>
  <c r="AF31" i="120"/>
  <c r="H7" i="131"/>
  <c r="C98" i="124"/>
  <c r="C99" i="124"/>
  <c r="C128" i="124"/>
  <c r="C129" i="124"/>
  <c r="V27" i="120"/>
  <c r="E7" i="102"/>
  <c r="X47" i="120"/>
  <c r="AA47" i="120"/>
  <c r="G7" i="117"/>
  <c r="Z41" i="120"/>
  <c r="X49" i="120"/>
  <c r="Z49" i="120"/>
  <c r="AA49" i="120"/>
  <c r="H7" i="118"/>
  <c r="AC49" i="120"/>
  <c r="C90" i="124"/>
  <c r="C91" i="124"/>
  <c r="C93" i="124"/>
  <c r="C92" i="124"/>
  <c r="C78" i="124"/>
  <c r="C77" i="124"/>
  <c r="C76" i="124"/>
  <c r="C75" i="124"/>
  <c r="C79" i="124"/>
  <c r="A36" i="113"/>
  <c r="A38" i="112"/>
  <c r="C112" i="124"/>
  <c r="Z39" i="120"/>
  <c r="AF22" i="120"/>
  <c r="H7" i="130"/>
  <c r="S38" i="120"/>
  <c r="U38" i="120"/>
  <c r="V38" i="120"/>
  <c r="E7" i="109"/>
  <c r="AE18" i="120"/>
  <c r="AF18" i="120"/>
  <c r="H7" i="129"/>
  <c r="AA6" i="120"/>
  <c r="AE14" i="120"/>
  <c r="C134" i="124"/>
  <c r="C133" i="124"/>
  <c r="C67" i="124"/>
  <c r="C63" i="124"/>
  <c r="C64" i="124"/>
  <c r="C66" i="124"/>
  <c r="C65" i="124"/>
  <c r="C55" i="124"/>
  <c r="C53" i="124"/>
  <c r="C57" i="124"/>
  <c r="C56" i="124"/>
  <c r="C54" i="124"/>
  <c r="AC35" i="120"/>
  <c r="AF35" i="120"/>
  <c r="H7" i="132"/>
  <c r="E36" i="120"/>
  <c r="A39" i="108"/>
  <c r="A58" i="128"/>
  <c r="A60" i="85"/>
  <c r="A36" i="115"/>
  <c r="A34" i="116"/>
  <c r="C12" i="124"/>
  <c r="C10" i="124"/>
  <c r="C9" i="124"/>
  <c r="C11" i="124"/>
  <c r="C13" i="124"/>
  <c r="AA14" i="120"/>
  <c r="H7" i="85"/>
  <c r="Z35" i="120"/>
  <c r="Z33" i="120"/>
  <c r="A54" i="85"/>
  <c r="A52" i="128"/>
  <c r="A56" i="87"/>
  <c r="A54" i="129"/>
  <c r="A58" i="85"/>
  <c r="A56" i="128"/>
  <c r="A45" i="132"/>
  <c r="A45" i="131"/>
  <c r="A58" i="130"/>
  <c r="A58" i="125"/>
  <c r="A60" i="95"/>
  <c r="A41" i="106"/>
  <c r="A39" i="131"/>
  <c r="X41" i="120"/>
  <c r="AA41" i="120"/>
  <c r="H7" i="112"/>
  <c r="AE41" i="120"/>
  <c r="X45" i="120"/>
  <c r="C34" i="124"/>
  <c r="C33" i="124"/>
  <c r="C37" i="124"/>
  <c r="C36" i="124"/>
  <c r="C35" i="124"/>
  <c r="AE49" i="120"/>
  <c r="Z45" i="120"/>
  <c r="AA4" i="120"/>
  <c r="E50" i="120"/>
  <c r="C143" i="124"/>
  <c r="A34" i="118"/>
  <c r="X33" i="120"/>
  <c r="AA33" i="120"/>
  <c r="G7" i="107"/>
  <c r="A13" i="85"/>
  <c r="I8" i="111"/>
  <c r="I8" i="117"/>
  <c r="I8" i="97"/>
  <c r="I8" i="114"/>
  <c r="E13" i="124"/>
  <c r="E79" i="124"/>
  <c r="E47" i="124"/>
  <c r="E23" i="124"/>
  <c r="E89" i="124"/>
  <c r="E57" i="124"/>
  <c r="C11" i="94"/>
  <c r="D27" i="96"/>
  <c r="E8" i="110"/>
  <c r="G27" i="105"/>
  <c r="A8" i="87"/>
  <c r="B112" i="124"/>
  <c r="B113" i="124"/>
  <c r="B114" i="124"/>
  <c r="B115" i="124"/>
  <c r="B116" i="124"/>
  <c r="C11" i="110"/>
  <c r="C11" i="93"/>
  <c r="C11" i="100"/>
  <c r="A13" i="88"/>
  <c r="B101" i="124"/>
  <c r="B102" i="124"/>
  <c r="B103" i="124"/>
  <c r="B104" i="124"/>
  <c r="A23" i="113"/>
  <c r="C11" i="89"/>
  <c r="A16" i="101"/>
  <c r="B3" i="97"/>
  <c r="A13" i="109"/>
  <c r="B3" i="111"/>
  <c r="B3" i="103"/>
  <c r="A23" i="112"/>
  <c r="C11" i="101"/>
  <c r="B3" i="119"/>
  <c r="E20" i="92"/>
  <c r="A13" i="106"/>
  <c r="A13" i="131"/>
  <c r="B3" i="89"/>
  <c r="B3" i="117"/>
  <c r="B3" i="2"/>
  <c r="B3" i="104"/>
  <c r="B3" i="99"/>
  <c r="G31" i="90"/>
  <c r="A13" i="129"/>
  <c r="A13" i="108"/>
  <c r="B3" i="118"/>
  <c r="A19" i="117"/>
  <c r="C3" i="106"/>
  <c r="B3" i="116"/>
  <c r="B3" i="96"/>
  <c r="C3" i="85"/>
  <c r="B3" i="114"/>
  <c r="C3" i="108"/>
  <c r="B3" i="93"/>
  <c r="C3" i="131"/>
  <c r="B3" i="1"/>
  <c r="C3" i="98"/>
  <c r="C3" i="129"/>
  <c r="E20" i="102"/>
  <c r="A13" i="128"/>
  <c r="A13" i="125"/>
  <c r="A13" i="132"/>
  <c r="A23" i="119"/>
  <c r="A13" i="130"/>
  <c r="C3" i="132"/>
  <c r="B3" i="102"/>
  <c r="B3" i="92"/>
  <c r="C3" i="130"/>
  <c r="B3" i="112"/>
  <c r="C3" i="87"/>
  <c r="B3" i="91"/>
  <c r="C3" i="125"/>
  <c r="C3" i="95"/>
  <c r="E23" i="109"/>
  <c r="B3" i="134"/>
  <c r="C3" i="88"/>
  <c r="B3" i="100"/>
  <c r="A13" i="87"/>
  <c r="B3" i="90"/>
  <c r="B3" i="94"/>
  <c r="B3" i="115"/>
  <c r="B3" i="107"/>
  <c r="C3" i="128"/>
  <c r="B3" i="101"/>
  <c r="B3" i="105"/>
  <c r="B3" i="113"/>
  <c r="B3" i="110"/>
  <c r="E8" i="93"/>
  <c r="A14" i="100"/>
  <c r="E8" i="103"/>
  <c r="E19" i="90"/>
  <c r="I19" i="90"/>
  <c r="A14" i="94"/>
  <c r="G27" i="97"/>
  <c r="A41" i="87"/>
  <c r="A16" i="110"/>
  <c r="A29" i="119"/>
  <c r="A29" i="112"/>
  <c r="A29" i="105"/>
  <c r="A29" i="116"/>
  <c r="E8" i="94"/>
  <c r="E8" i="89"/>
  <c r="E8" i="101"/>
  <c r="A14" i="89"/>
  <c r="A18" i="103"/>
  <c r="A29" i="115"/>
  <c r="A29" i="118"/>
  <c r="A29" i="113"/>
  <c r="A8" i="114"/>
  <c r="A8" i="94"/>
  <c r="A8" i="106"/>
  <c r="A8" i="89"/>
  <c r="A8" i="97"/>
  <c r="A8" i="95"/>
  <c r="F40" i="134"/>
  <c r="A41" i="85"/>
  <c r="A8" i="111"/>
  <c r="A8" i="118"/>
  <c r="A8" i="90"/>
  <c r="A8" i="115"/>
  <c r="A8" i="96"/>
  <c r="A41" i="128"/>
  <c r="A15" i="91"/>
  <c r="A15" i="109"/>
  <c r="A41" i="95"/>
  <c r="A8" i="129"/>
  <c r="A8" i="132"/>
  <c r="A8" i="116"/>
  <c r="A8" i="113"/>
  <c r="A13" i="92"/>
  <c r="A28" i="131"/>
  <c r="A15" i="92"/>
  <c r="C12" i="92"/>
  <c r="C12" i="91"/>
  <c r="C12" i="109"/>
  <c r="C12" i="102"/>
  <c r="A8" i="85"/>
  <c r="A8" i="119"/>
  <c r="A28" i="106"/>
  <c r="A25" i="96"/>
  <c r="A25" i="97"/>
  <c r="A5" i="88"/>
  <c r="A5" i="125"/>
  <c r="A5" i="97"/>
  <c r="A5" i="109"/>
  <c r="A5" i="100"/>
  <c r="A5" i="117"/>
  <c r="A5" i="104"/>
  <c r="A5" i="102"/>
  <c r="A5" i="85"/>
  <c r="A5" i="96"/>
  <c r="A5" i="130"/>
  <c r="A5" i="131"/>
  <c r="A5" i="92"/>
  <c r="A5" i="113"/>
  <c r="A5" i="94"/>
  <c r="A5" i="116"/>
  <c r="A5" i="115"/>
  <c r="A5" i="119"/>
  <c r="A5" i="99"/>
  <c r="A5" i="101"/>
  <c r="A5" i="132"/>
  <c r="A5" i="129"/>
  <c r="A5" i="105"/>
  <c r="A5" i="87"/>
  <c r="A5" i="107"/>
  <c r="A5" i="1"/>
  <c r="A5" i="112"/>
  <c r="A5" i="128"/>
  <c r="A5" i="118"/>
  <c r="A5" i="93"/>
  <c r="A5" i="91"/>
  <c r="A5" i="106"/>
  <c r="A5" i="110"/>
  <c r="A5" i="114"/>
  <c r="A5" i="90"/>
  <c r="A5" i="95"/>
  <c r="A5" i="111"/>
  <c r="A5" i="103"/>
  <c r="A5" i="89"/>
  <c r="A5" i="108"/>
  <c r="A5" i="98"/>
  <c r="A8" i="105"/>
  <c r="A28" i="132"/>
  <c r="A41" i="130"/>
  <c r="A8" i="99"/>
  <c r="A41" i="129"/>
  <c r="B117" i="124"/>
  <c r="B118" i="124"/>
  <c r="B119" i="124"/>
  <c r="B120" i="124"/>
  <c r="B121" i="124"/>
  <c r="A8" i="125"/>
  <c r="A17" i="109"/>
  <c r="A8" i="112"/>
  <c r="A8" i="93"/>
  <c r="A8" i="100"/>
  <c r="A8" i="117"/>
  <c r="A25" i="103"/>
  <c r="A23" i="93"/>
  <c r="A21" i="89"/>
  <c r="A25" i="93"/>
  <c r="A27" i="103"/>
  <c r="A25" i="101"/>
  <c r="A21" i="100"/>
  <c r="A45" i="87"/>
  <c r="A45" i="129"/>
  <c r="A45" i="95"/>
  <c r="A45" i="128"/>
  <c r="A45" i="125"/>
  <c r="A45" i="85"/>
  <c r="A45" i="88"/>
  <c r="A45" i="130"/>
  <c r="A23" i="97"/>
  <c r="A23" i="96"/>
  <c r="A23" i="105"/>
  <c r="A23" i="104"/>
  <c r="B8" i="124"/>
  <c r="A15" i="88"/>
  <c r="A15" i="87"/>
  <c r="B52" i="124"/>
  <c r="A15" i="130"/>
  <c r="A15" i="85"/>
  <c r="A15" i="95"/>
  <c r="B74" i="124"/>
  <c r="A15" i="125"/>
  <c r="A15" i="128"/>
  <c r="B32" i="124"/>
  <c r="A15" i="129"/>
  <c r="K3" i="106"/>
  <c r="K3" i="85"/>
  <c r="E3" i="100"/>
  <c r="K3" i="95"/>
  <c r="K3" i="112"/>
  <c r="K3" i="128"/>
  <c r="I3" i="117"/>
  <c r="E3" i="103"/>
  <c r="I3" i="111"/>
  <c r="K3" i="118"/>
  <c r="G3" i="2"/>
  <c r="K3" i="129"/>
  <c r="I3" i="90"/>
  <c r="E3" i="102"/>
  <c r="K3" i="131"/>
  <c r="I3" i="97"/>
  <c r="G3" i="98"/>
  <c r="K3" i="113"/>
  <c r="E3" i="92"/>
  <c r="K3" i="88"/>
  <c r="K3" i="125"/>
  <c r="I3" i="105"/>
  <c r="E3" i="109"/>
  <c r="E3" i="110"/>
  <c r="E3" i="101"/>
  <c r="I3" i="99"/>
  <c r="E3" i="93"/>
  <c r="K3" i="119"/>
  <c r="K3" i="130"/>
  <c r="K3" i="87"/>
  <c r="K3" i="115"/>
  <c r="I3" i="114"/>
  <c r="I3" i="96"/>
  <c r="I3" i="107"/>
  <c r="K3" i="132"/>
  <c r="E3" i="91"/>
  <c r="K3" i="116"/>
  <c r="K3" i="108"/>
  <c r="E3" i="94"/>
  <c r="F3" i="134"/>
  <c r="E3" i="89"/>
  <c r="I3" i="104"/>
  <c r="F3" i="1"/>
  <c r="A25" i="118"/>
  <c r="A25" i="119"/>
  <c r="A21" i="117"/>
  <c r="A18" i="99"/>
  <c r="R1" i="124"/>
  <c r="B28" i="124"/>
  <c r="B30" i="124"/>
  <c r="A27" i="116"/>
  <c r="A27" i="97"/>
  <c r="A27" i="96"/>
  <c r="A27" i="113"/>
  <c r="A27" i="104"/>
  <c r="A27" i="115"/>
  <c r="A27" i="119"/>
  <c r="A27" i="118"/>
  <c r="A27" i="105"/>
  <c r="A27" i="112"/>
  <c r="D16" i="108"/>
  <c r="D16" i="106"/>
  <c r="F1" i="124"/>
  <c r="D16" i="131"/>
  <c r="G15" i="105"/>
  <c r="G17" i="99"/>
  <c r="G27" i="99"/>
  <c r="I15" i="116"/>
  <c r="D16" i="130"/>
  <c r="G16" i="111"/>
  <c r="D16" i="88"/>
  <c r="D16" i="129"/>
  <c r="G16" i="90"/>
  <c r="D15" i="115"/>
  <c r="D16" i="125"/>
  <c r="D16" i="87"/>
  <c r="D16" i="85"/>
  <c r="I15" i="113"/>
  <c r="D16" i="128"/>
  <c r="D15" i="112"/>
  <c r="D16" i="132"/>
  <c r="G16" i="107"/>
  <c r="G16" i="114"/>
  <c r="G16" i="117"/>
  <c r="G15" i="97"/>
  <c r="I15" i="119"/>
  <c r="D16" i="95"/>
  <c r="D15" i="118"/>
  <c r="D40" i="134"/>
  <c r="C52" i="130"/>
  <c r="C39" i="132"/>
  <c r="C26" i="110"/>
  <c r="C27" i="93"/>
  <c r="C26" i="107"/>
  <c r="C24" i="102"/>
  <c r="C26" i="111"/>
  <c r="C27" i="101"/>
  <c r="E20" i="98"/>
  <c r="C34" i="119"/>
  <c r="C39" i="131"/>
  <c r="C52" i="128"/>
  <c r="C34" i="118"/>
  <c r="C39" i="106"/>
  <c r="C34" i="116"/>
  <c r="C52" i="95"/>
  <c r="C52" i="87"/>
  <c r="C39" i="108"/>
  <c r="C52" i="129"/>
  <c r="C52" i="85"/>
  <c r="C23" i="100"/>
  <c r="C36" i="1"/>
  <c r="C31" i="103"/>
  <c r="C29" i="90"/>
  <c r="C28" i="91"/>
  <c r="C29" i="109"/>
  <c r="C24" i="92"/>
  <c r="C36" i="99"/>
  <c r="C34" i="115"/>
  <c r="C23" i="89"/>
  <c r="C31" i="96"/>
  <c r="C33" i="105"/>
  <c r="C26" i="114"/>
  <c r="C52" i="125"/>
  <c r="C31" i="97"/>
  <c r="C34" i="112"/>
  <c r="C52" i="88"/>
  <c r="C26" i="117"/>
  <c r="C33" i="104"/>
  <c r="C34" i="113"/>
  <c r="C25" i="94"/>
  <c r="C43" i="85"/>
  <c r="D19" i="111"/>
  <c r="D23" i="90"/>
  <c r="C23" i="118"/>
  <c r="C43" i="88"/>
  <c r="C23" i="112"/>
  <c r="D23" i="96"/>
  <c r="C30" i="108"/>
  <c r="C30" i="106"/>
  <c r="D19" i="107"/>
  <c r="C23" i="115"/>
  <c r="D22" i="99"/>
  <c r="D23" i="104"/>
  <c r="D19" i="117"/>
  <c r="D19" i="114"/>
  <c r="C43" i="95"/>
  <c r="C43" i="87"/>
  <c r="H15" i="119"/>
  <c r="C15" i="112"/>
  <c r="H15" i="113"/>
  <c r="H15" i="116"/>
  <c r="C15" i="115"/>
  <c r="C15" i="118"/>
  <c r="C27" i="115"/>
  <c r="H27" i="119"/>
  <c r="C27" i="118"/>
  <c r="H27" i="116"/>
  <c r="H27" i="113"/>
  <c r="C27" i="112"/>
  <c r="K2" i="87"/>
  <c r="K2" i="88"/>
  <c r="K2" i="106"/>
  <c r="I2" i="105"/>
  <c r="K2" i="115"/>
  <c r="E2" i="94"/>
  <c r="E2" i="89"/>
  <c r="I2" i="99"/>
  <c r="E2" i="93"/>
  <c r="K2" i="125"/>
  <c r="G2" i="2"/>
  <c r="F2" i="134"/>
  <c r="K2" i="85"/>
  <c r="I2" i="90"/>
  <c r="K2" i="119"/>
  <c r="K2" i="112"/>
  <c r="E2" i="101"/>
  <c r="K2" i="131"/>
  <c r="K2" i="130"/>
  <c r="E2" i="100"/>
  <c r="E2" i="109"/>
  <c r="I2" i="117"/>
  <c r="E2" i="110"/>
  <c r="E2" i="102"/>
  <c r="I2" i="96"/>
  <c r="I2" i="104"/>
  <c r="I2" i="114"/>
  <c r="K2" i="128"/>
  <c r="I2" i="111"/>
  <c r="K2" i="118"/>
  <c r="E2" i="92"/>
  <c r="F2" i="1"/>
  <c r="K2" i="132"/>
  <c r="K2" i="113"/>
  <c r="K2" i="116"/>
  <c r="K2" i="108"/>
  <c r="I2" i="97"/>
  <c r="E2" i="91"/>
  <c r="K2" i="129"/>
  <c r="G2" i="98"/>
  <c r="I2" i="107"/>
  <c r="K2" i="95"/>
  <c r="E2" i="103"/>
  <c r="E12" i="109"/>
  <c r="E12" i="92"/>
  <c r="E12" i="102"/>
  <c r="E12" i="91"/>
  <c r="A10" i="116"/>
  <c r="A10" i="112"/>
  <c r="A10" i="113"/>
  <c r="A10" i="118"/>
  <c r="A10" i="115"/>
  <c r="A10" i="119"/>
  <c r="G7" i="98"/>
  <c r="A14" i="98"/>
  <c r="A25" i="116"/>
  <c r="A21" i="114"/>
  <c r="A25" i="115"/>
  <c r="A28" i="125"/>
  <c r="A28" i="95"/>
  <c r="B57" i="124"/>
  <c r="A28" i="88"/>
  <c r="A28" i="129"/>
  <c r="A28" i="128"/>
  <c r="B13" i="124"/>
  <c r="B37" i="124"/>
  <c r="B79" i="124"/>
  <c r="A28" i="85"/>
  <c r="A28" i="87"/>
  <c r="A28" i="130"/>
  <c r="A15" i="108"/>
  <c r="A15" i="132"/>
  <c r="A15" i="106"/>
  <c r="A15" i="131"/>
  <c r="A49" i="130"/>
  <c r="A49" i="85"/>
  <c r="A31" i="118"/>
  <c r="A49" i="128"/>
  <c r="A33" i="99"/>
  <c r="A31" i="119"/>
  <c r="A36" i="106"/>
  <c r="A36" i="131"/>
  <c r="A49" i="88"/>
  <c r="A23" i="111"/>
  <c r="A23" i="107"/>
  <c r="A30" i="104"/>
  <c r="A49" i="125"/>
  <c r="A31" i="116"/>
  <c r="A28" i="96"/>
  <c r="A36" i="132"/>
  <c r="A49" i="129"/>
  <c r="A30" i="105"/>
  <c r="A31" i="113"/>
  <c r="A26" i="90"/>
  <c r="Q1" i="124"/>
  <c r="A23" i="117"/>
  <c r="A28" i="97"/>
  <c r="A49" i="87"/>
  <c r="A49" i="95"/>
  <c r="A23" i="114"/>
  <c r="A31" i="115"/>
  <c r="A36" i="108"/>
  <c r="A31" i="112"/>
  <c r="C32" i="131"/>
  <c r="C45" i="125"/>
  <c r="G25" i="105"/>
  <c r="C32" i="108"/>
  <c r="C45" i="130"/>
  <c r="C25" i="118"/>
  <c r="D25" i="96"/>
  <c r="C32" i="132"/>
  <c r="H25" i="119"/>
  <c r="C45" i="95"/>
  <c r="D21" i="111"/>
  <c r="C45" i="129"/>
  <c r="D21" i="114"/>
  <c r="D25" i="104"/>
  <c r="D21" i="117"/>
  <c r="C25" i="112"/>
  <c r="C45" i="87"/>
  <c r="G25" i="97"/>
  <c r="C45" i="128"/>
  <c r="D25" i="90"/>
  <c r="D21" i="107"/>
  <c r="H25" i="113"/>
  <c r="C25" i="115"/>
  <c r="C32" i="106"/>
  <c r="C45" i="85"/>
  <c r="D24" i="99"/>
  <c r="C45" i="88"/>
  <c r="H25" i="116"/>
  <c r="A10" i="96"/>
  <c r="A10" i="97"/>
  <c r="E8" i="92"/>
  <c r="E8" i="109"/>
  <c r="E8" i="102"/>
  <c r="E8" i="91"/>
  <c r="F16" i="87"/>
  <c r="F16" i="88"/>
  <c r="F16" i="85"/>
  <c r="E16" i="129"/>
  <c r="E16" i="106"/>
  <c r="F16" i="106"/>
  <c r="E16" i="95"/>
  <c r="F16" i="131"/>
  <c r="E16" i="108"/>
  <c r="F16" i="125"/>
  <c r="E16" i="88"/>
  <c r="E16" i="85"/>
  <c r="E16" i="128"/>
  <c r="E16" i="131"/>
  <c r="F16" i="130"/>
  <c r="F16" i="108"/>
  <c r="F16" i="129"/>
  <c r="E16" i="132"/>
  <c r="F16" i="132"/>
  <c r="E16" i="130"/>
  <c r="F16" i="128"/>
  <c r="E16" i="125"/>
  <c r="F16" i="95"/>
  <c r="E16" i="87"/>
  <c r="A10" i="105"/>
  <c r="A10" i="104"/>
  <c r="C34" i="106"/>
  <c r="C47" i="85"/>
  <c r="C47" i="130"/>
  <c r="C47" i="125"/>
  <c r="C47" i="95"/>
  <c r="C47" i="88"/>
  <c r="C34" i="131"/>
  <c r="C47" i="128"/>
  <c r="C34" i="132"/>
  <c r="C34" i="108"/>
  <c r="C47" i="87"/>
  <c r="C47" i="129"/>
  <c r="A11" i="87"/>
  <c r="A11" i="129"/>
  <c r="A11" i="106"/>
  <c r="A11" i="128"/>
  <c r="A11" i="108"/>
  <c r="A11" i="132"/>
  <c r="A11" i="131"/>
  <c r="A11" i="85"/>
  <c r="A11" i="88"/>
  <c r="A11" i="125"/>
  <c r="A11" i="95"/>
  <c r="A11" i="130"/>
  <c r="F1" i="134"/>
  <c r="K1" i="125"/>
  <c r="K1" i="106"/>
  <c r="E1" i="102"/>
  <c r="E1" i="91"/>
  <c r="E1" i="110"/>
  <c r="I1" i="90"/>
  <c r="I1" i="97"/>
  <c r="E1" i="100"/>
  <c r="K1" i="113"/>
  <c r="I1" i="117"/>
  <c r="K1" i="88"/>
  <c r="K1" i="132"/>
  <c r="E1" i="89"/>
  <c r="I1" i="99"/>
  <c r="G1" i="98"/>
  <c r="K1" i="119"/>
  <c r="I1" i="111"/>
  <c r="K1" i="130"/>
  <c r="K1" i="128"/>
  <c r="K1" i="116"/>
  <c r="G1" i="2"/>
  <c r="F1" i="1"/>
  <c r="I1" i="105"/>
  <c r="I1" i="104"/>
  <c r="K1" i="108"/>
  <c r="K1" i="95"/>
  <c r="I1" i="114"/>
  <c r="E1" i="101"/>
  <c r="I1" i="107"/>
  <c r="K1" i="129"/>
  <c r="K1" i="87"/>
  <c r="K1" i="112"/>
  <c r="E1" i="109"/>
  <c r="E1" i="92"/>
  <c r="E1" i="94"/>
  <c r="K1" i="131"/>
  <c r="E1" i="103"/>
  <c r="E1" i="93"/>
  <c r="K1" i="118"/>
  <c r="K1" i="85"/>
  <c r="K1" i="115"/>
  <c r="I1" i="96"/>
  <c r="A7" i="130"/>
  <c r="A7" i="132"/>
  <c r="A7" i="131"/>
  <c r="A7" i="106"/>
  <c r="A7" i="108"/>
  <c r="A7" i="116"/>
  <c r="A7" i="89"/>
  <c r="A7" i="115"/>
  <c r="A7" i="99"/>
  <c r="A7" i="102"/>
  <c r="A7" i="118"/>
  <c r="A7" i="129"/>
  <c r="A7" i="105"/>
  <c r="A7" i="110"/>
  <c r="A7" i="94"/>
  <c r="A7" i="112"/>
  <c r="A7" i="95"/>
  <c r="A7" i="97"/>
  <c r="A7" i="125"/>
  <c r="A7" i="96"/>
  <c r="A7" i="109"/>
  <c r="A7" i="87"/>
  <c r="A7" i="128"/>
  <c r="A7" i="111"/>
  <c r="A7" i="114"/>
  <c r="A7" i="93"/>
  <c r="A7" i="90"/>
  <c r="A7" i="113"/>
  <c r="A7" i="91"/>
  <c r="A7" i="88"/>
  <c r="A7" i="104"/>
  <c r="A7" i="92"/>
  <c r="A7" i="103"/>
  <c r="A7" i="107"/>
  <c r="A7" i="101"/>
  <c r="A7" i="100"/>
  <c r="A7" i="85"/>
  <c r="A7" i="117"/>
  <c r="A15" i="1"/>
  <c r="A7" i="119"/>
  <c r="A10" i="117"/>
  <c r="A10" i="114"/>
  <c r="A10" i="111"/>
  <c r="A28" i="108"/>
  <c r="A13" i="91"/>
  <c r="A8" i="101"/>
  <c r="A8" i="88"/>
  <c r="A41" i="125"/>
  <c r="P1" i="124"/>
  <c r="H14" i="116"/>
  <c r="H14" i="119"/>
  <c r="C14" i="115"/>
  <c r="H14" i="113"/>
  <c r="C14" i="112"/>
  <c r="C14" i="118"/>
  <c r="A20" i="90"/>
  <c r="A11" i="90"/>
  <c r="A28" i="2"/>
  <c r="A18" i="98"/>
  <c r="A22" i="2"/>
  <c r="A43" i="85"/>
  <c r="A43" i="87"/>
  <c r="A43" i="129"/>
  <c r="A43" i="88"/>
  <c r="A43" i="128"/>
  <c r="A43" i="95"/>
  <c r="A43" i="125"/>
  <c r="A43" i="130"/>
  <c r="A30" i="106"/>
  <c r="A30" i="131"/>
  <c r="A30" i="132"/>
  <c r="A30" i="108"/>
  <c r="A13" i="97"/>
  <c r="A13" i="96"/>
  <c r="E37" i="124"/>
  <c r="E67" i="124"/>
  <c r="L1" i="124"/>
  <c r="I16" i="106"/>
  <c r="I16" i="129"/>
  <c r="H16" i="129"/>
  <c r="H16" i="108"/>
  <c r="I16" i="108"/>
  <c r="H16" i="128"/>
  <c r="I16" i="87"/>
  <c r="I16" i="128"/>
  <c r="H16" i="88"/>
  <c r="I16" i="131"/>
  <c r="I16" i="85"/>
  <c r="H16" i="85"/>
  <c r="H16" i="106"/>
  <c r="H16" i="131"/>
  <c r="I16" i="125"/>
  <c r="H16" i="125"/>
  <c r="H16" i="87"/>
  <c r="H16" i="95"/>
  <c r="H16" i="130"/>
  <c r="I16" i="132"/>
  <c r="I16" i="95"/>
  <c r="H16" i="132"/>
  <c r="M1" i="124"/>
  <c r="I16" i="88"/>
  <c r="I16" i="130"/>
  <c r="C43" i="129"/>
  <c r="G19" i="111"/>
  <c r="G22" i="99"/>
  <c r="G19" i="117"/>
  <c r="C43" i="128"/>
  <c r="G19" i="107"/>
  <c r="H23" i="119"/>
  <c r="C30" i="131"/>
  <c r="C30" i="132"/>
  <c r="H23" i="113"/>
  <c r="G23" i="105"/>
  <c r="G23" i="90"/>
  <c r="H23" i="116"/>
  <c r="C43" i="125"/>
  <c r="C43" i="130"/>
  <c r="G23" i="97"/>
  <c r="G19" i="114"/>
  <c r="A14" i="101"/>
  <c r="A12" i="89"/>
  <c r="A14" i="93"/>
  <c r="A14" i="103"/>
  <c r="A12" i="100"/>
  <c r="C1" i="88"/>
  <c r="C1" i="108"/>
  <c r="B1" i="100"/>
  <c r="B1" i="117"/>
  <c r="B1" i="104"/>
  <c r="B1" i="93"/>
  <c r="B1" i="115"/>
  <c r="B1" i="112"/>
  <c r="C1" i="95"/>
  <c r="B1" i="94"/>
  <c r="C1" i="98"/>
  <c r="C1" i="129"/>
  <c r="B1" i="134"/>
  <c r="C1" i="87"/>
  <c r="B1" i="116"/>
  <c r="B1" i="110"/>
  <c r="B1" i="99"/>
  <c r="B1" i="107"/>
  <c r="B1" i="105"/>
  <c r="C1" i="132"/>
  <c r="B1" i="109"/>
  <c r="B1" i="111"/>
  <c r="B1" i="91"/>
  <c r="B1" i="114"/>
  <c r="B1" i="118"/>
  <c r="C1" i="85"/>
  <c r="C1" i="128"/>
  <c r="B1" i="102"/>
  <c r="B1" i="92"/>
  <c r="B1" i="97"/>
  <c r="B1" i="96"/>
  <c r="C1" i="130"/>
  <c r="B1" i="113"/>
  <c r="B1" i="1"/>
  <c r="B1" i="90"/>
  <c r="C1" i="106"/>
  <c r="C1" i="125"/>
  <c r="B1" i="89"/>
  <c r="B1" i="2"/>
  <c r="B1" i="119"/>
  <c r="C1" i="131"/>
  <c r="B1" i="103"/>
  <c r="B1" i="101"/>
  <c r="F15" i="130"/>
  <c r="I15" i="130"/>
  <c r="E15" i="114"/>
  <c r="I15" i="114"/>
  <c r="F15" i="129"/>
  <c r="I15" i="129"/>
  <c r="K1" i="124"/>
  <c r="K14" i="116"/>
  <c r="F15" i="106"/>
  <c r="I15" i="106"/>
  <c r="F14" i="112"/>
  <c r="E14" i="96"/>
  <c r="F15" i="131"/>
  <c r="I15" i="131"/>
  <c r="I14" i="105"/>
  <c r="F15" i="85"/>
  <c r="I15" i="85"/>
  <c r="F15" i="87"/>
  <c r="I15" i="87"/>
  <c r="F15" i="125"/>
  <c r="I15" i="125"/>
  <c r="I16" i="99"/>
  <c r="F15" i="128"/>
  <c r="I15" i="128"/>
  <c r="F15" i="108"/>
  <c r="I15" i="108"/>
  <c r="F15" i="95"/>
  <c r="I15" i="95"/>
  <c r="F14" i="118"/>
  <c r="E16" i="99"/>
  <c r="E15" i="117"/>
  <c r="I15" i="117"/>
  <c r="E15" i="90"/>
  <c r="I15" i="90"/>
  <c r="F15" i="88"/>
  <c r="I15" i="88"/>
  <c r="E14" i="104"/>
  <c r="E15" i="111"/>
  <c r="I15" i="111"/>
  <c r="K14" i="113"/>
  <c r="F14" i="115"/>
  <c r="K14" i="119"/>
  <c r="F15" i="132"/>
  <c r="I15" i="132"/>
  <c r="E15" i="107"/>
  <c r="I15" i="107"/>
  <c r="I14" i="97"/>
  <c r="A30" i="99"/>
  <c r="S1" i="124"/>
  <c r="A16" i="100"/>
  <c r="A18" i="93"/>
  <c r="A18" i="110"/>
  <c r="A16" i="94"/>
  <c r="A18" i="101"/>
  <c r="A16" i="89"/>
  <c r="A20" i="103"/>
  <c r="A25" i="105"/>
  <c r="A25" i="104"/>
  <c r="C26" i="128"/>
  <c r="C26" i="131"/>
  <c r="C26" i="106"/>
  <c r="C39" i="128"/>
  <c r="D25" i="1"/>
  <c r="C39" i="95"/>
  <c r="C39" i="129"/>
  <c r="C26" i="108"/>
  <c r="C26" i="87"/>
  <c r="C39" i="85"/>
  <c r="C18" i="109"/>
  <c r="C39" i="130"/>
  <c r="C26" i="129"/>
  <c r="C39" i="88"/>
  <c r="C39" i="87"/>
  <c r="C26" i="130"/>
  <c r="C18" i="91"/>
  <c r="C26" i="95"/>
  <c r="C39" i="125"/>
  <c r="C26" i="85"/>
  <c r="C26" i="125"/>
  <c r="C26" i="88"/>
  <c r="C26" i="132"/>
  <c r="C16" i="102"/>
  <c r="C16" i="92"/>
  <c r="K5" i="108"/>
  <c r="K5" i="87"/>
  <c r="K5" i="129"/>
  <c r="E5" i="102"/>
  <c r="I5" i="107"/>
  <c r="E5" i="89"/>
  <c r="K5" i="118"/>
  <c r="K5" i="125"/>
  <c r="K5" i="85"/>
  <c r="K5" i="116"/>
  <c r="E5" i="101"/>
  <c r="I5" i="104"/>
  <c r="E5" i="93"/>
  <c r="I5" i="105"/>
  <c r="E5" i="94"/>
  <c r="K5" i="132"/>
  <c r="K5" i="128"/>
  <c r="E5" i="109"/>
  <c r="K5" i="115"/>
  <c r="I5" i="96"/>
  <c r="E5" i="100"/>
  <c r="K5" i="112"/>
  <c r="I5" i="117"/>
  <c r="I5" i="90"/>
  <c r="K5" i="95"/>
  <c r="K5" i="106"/>
  <c r="G5" i="98"/>
  <c r="K5" i="119"/>
  <c r="I5" i="111"/>
  <c r="E5" i="91"/>
  <c r="E5" i="103"/>
  <c r="I5" i="99"/>
  <c r="K5" i="88"/>
  <c r="K5" i="113"/>
  <c r="E5" i="92"/>
  <c r="F5" i="1"/>
  <c r="K5" i="130"/>
  <c r="K5" i="131"/>
  <c r="E5" i="110"/>
  <c r="F5" i="134"/>
  <c r="I5" i="97"/>
  <c r="I5" i="114"/>
  <c r="A10" i="101"/>
  <c r="A10" i="110"/>
  <c r="A10" i="89"/>
  <c r="A10" i="94"/>
  <c r="A10" i="100"/>
  <c r="A10" i="103"/>
  <c r="A10" i="93"/>
  <c r="A25" i="112"/>
  <c r="A21" i="111"/>
  <c r="A25" i="113"/>
  <c r="H1" i="124"/>
  <c r="J15" i="116"/>
  <c r="K15" i="116"/>
  <c r="H15" i="97"/>
  <c r="E17" i="99"/>
  <c r="I15" i="105"/>
  <c r="I17" i="99"/>
  <c r="E16" i="90"/>
  <c r="I16" i="90"/>
  <c r="J15" i="113"/>
  <c r="G1" i="124"/>
  <c r="E15" i="115"/>
  <c r="F15" i="115"/>
  <c r="D16" i="117"/>
  <c r="H16" i="117"/>
  <c r="K15" i="113"/>
  <c r="E15" i="118"/>
  <c r="E16" i="111"/>
  <c r="I16" i="111"/>
  <c r="F15" i="118"/>
  <c r="H15" i="105"/>
  <c r="D16" i="111"/>
  <c r="H16" i="111"/>
  <c r="E15" i="96"/>
  <c r="E15" i="112"/>
  <c r="D17" i="99"/>
  <c r="E16" i="107"/>
  <c r="I16" i="107"/>
  <c r="H17" i="99"/>
  <c r="D16" i="107"/>
  <c r="H16" i="107"/>
  <c r="D16" i="90"/>
  <c r="H16" i="90"/>
  <c r="F15" i="112"/>
  <c r="D15" i="96"/>
  <c r="J15" i="119"/>
  <c r="D15" i="104"/>
  <c r="K15" i="119"/>
  <c r="I15" i="97"/>
  <c r="E16" i="117"/>
  <c r="I16" i="117"/>
  <c r="E15" i="104"/>
  <c r="D16" i="114"/>
  <c r="H16" i="114"/>
  <c r="E16" i="114"/>
  <c r="I16" i="114"/>
  <c r="E76" i="124"/>
  <c r="E54" i="124"/>
  <c r="E15" i="124"/>
  <c r="E10" i="124"/>
  <c r="E107" i="124"/>
  <c r="E81" i="124"/>
  <c r="E59" i="124"/>
  <c r="E44" i="124"/>
  <c r="E34" i="124"/>
  <c r="E114" i="124"/>
  <c r="E102" i="124"/>
  <c r="E69" i="124"/>
  <c r="E49" i="124"/>
  <c r="E25" i="124"/>
  <c r="E91" i="124"/>
  <c r="E64" i="124"/>
  <c r="E86" i="124"/>
  <c r="E39" i="124"/>
  <c r="E20" i="124"/>
  <c r="E119" i="124"/>
  <c r="A8" i="108"/>
  <c r="A15" i="102"/>
  <c r="C16" i="128"/>
  <c r="C16" i="130"/>
  <c r="C16" i="88"/>
  <c r="C16" i="125"/>
  <c r="I1" i="124"/>
  <c r="C16" i="108"/>
  <c r="C16" i="95"/>
  <c r="C16" i="85"/>
  <c r="C16" i="87"/>
  <c r="C16" i="131"/>
  <c r="C16" i="129"/>
  <c r="C16" i="106"/>
  <c r="C16" i="132"/>
  <c r="A18" i="92"/>
  <c r="A27" i="1"/>
  <c r="A21" i="101"/>
  <c r="A20" i="91"/>
  <c r="A21" i="109"/>
  <c r="A18" i="102"/>
  <c r="A23" i="103"/>
  <c r="A21" i="93"/>
  <c r="C13" i="129"/>
  <c r="C13" i="130"/>
  <c r="C13" i="128"/>
  <c r="H12" i="113"/>
  <c r="G12" i="105"/>
  <c r="G13" i="111"/>
  <c r="C13" i="132"/>
  <c r="G13" i="90"/>
  <c r="G13" i="107"/>
  <c r="G13" i="114"/>
  <c r="C13" i="131"/>
  <c r="G13" i="117"/>
  <c r="G14" i="99"/>
  <c r="H13" i="132"/>
  <c r="G12" i="97"/>
  <c r="C13" i="125"/>
  <c r="H12" i="119"/>
  <c r="H12" i="116"/>
  <c r="A8" i="131"/>
  <c r="A8" i="104"/>
  <c r="A13" i="102"/>
  <c r="C13" i="106"/>
  <c r="C13" i="108"/>
  <c r="C13" i="85"/>
  <c r="C12" i="118"/>
  <c r="D12" i="96"/>
  <c r="C12" i="115"/>
  <c r="D14" i="99"/>
  <c r="C13" i="88"/>
  <c r="D12" i="104"/>
  <c r="C13" i="87"/>
  <c r="D13" i="107"/>
  <c r="D13" i="117"/>
  <c r="D13" i="90"/>
  <c r="D13" i="114"/>
  <c r="D13" i="111"/>
  <c r="C12" i="112"/>
  <c r="C13" i="95"/>
  <c r="C2" i="106"/>
  <c r="C2" i="131"/>
  <c r="B2" i="110"/>
  <c r="B2" i="103"/>
  <c r="B2" i="94"/>
  <c r="B2" i="109"/>
  <c r="B2" i="100"/>
  <c r="B2" i="113"/>
  <c r="B2" i="107"/>
  <c r="B2" i="105"/>
  <c r="C2" i="129"/>
  <c r="B2" i="134"/>
  <c r="C2" i="108"/>
  <c r="B2" i="101"/>
  <c r="B2" i="89"/>
  <c r="B2" i="96"/>
  <c r="B2" i="91"/>
  <c r="B2" i="90"/>
  <c r="B2" i="119"/>
  <c r="C2" i="87"/>
  <c r="B2" i="116"/>
  <c r="B2" i="112"/>
  <c r="B2" i="1"/>
  <c r="C2" i="130"/>
  <c r="B2" i="104"/>
  <c r="B2" i="111"/>
  <c r="B2" i="92"/>
  <c r="C2" i="98"/>
  <c r="B2" i="93"/>
  <c r="B2" i="97"/>
  <c r="B2" i="114"/>
  <c r="B2" i="102"/>
  <c r="B2" i="2"/>
  <c r="C2" i="125"/>
  <c r="C2" i="128"/>
  <c r="C2" i="95"/>
  <c r="B2" i="117"/>
  <c r="C2" i="88"/>
  <c r="B2" i="118"/>
  <c r="C2" i="85"/>
  <c r="C2" i="132"/>
  <c r="B2" i="99"/>
  <c r="B2" i="115"/>
  <c r="A10" i="91"/>
  <c r="A10" i="92"/>
  <c r="A10" i="102"/>
  <c r="A10" i="109"/>
  <c r="A21" i="110"/>
  <c r="A19" i="100"/>
  <c r="A19" i="94"/>
  <c r="A19" i="89"/>
  <c r="A10" i="130"/>
  <c r="A10" i="131"/>
  <c r="A10" i="128"/>
  <c r="A10" i="85"/>
  <c r="A10" i="129"/>
  <c r="A10" i="87"/>
  <c r="A10" i="88"/>
  <c r="A10" i="132"/>
  <c r="A10" i="125"/>
  <c r="A10" i="108"/>
  <c r="A10" i="95"/>
  <c r="A10" i="106"/>
  <c r="B29" i="124"/>
  <c r="B31" i="124"/>
  <c r="A20" i="99"/>
  <c r="J14" i="113"/>
  <c r="D15" i="114"/>
  <c r="H15" i="114"/>
  <c r="H16" i="99"/>
  <c r="E14" i="115"/>
  <c r="E15" i="108"/>
  <c r="H15" i="108"/>
  <c r="E15" i="95"/>
  <c r="H15" i="95"/>
  <c r="J14" i="119"/>
  <c r="D15" i="90"/>
  <c r="H15" i="90"/>
  <c r="J14" i="116"/>
  <c r="E15" i="87"/>
  <c r="H15" i="87"/>
  <c r="E15" i="125"/>
  <c r="H15" i="125"/>
  <c r="E14" i="112"/>
  <c r="D14" i="104"/>
  <c r="H14" i="97"/>
  <c r="D15" i="111"/>
  <c r="H15" i="111"/>
  <c r="E15" i="131"/>
  <c r="H15" i="131"/>
  <c r="E15" i="88"/>
  <c r="H15" i="88"/>
  <c r="E15" i="106"/>
  <c r="H15" i="106"/>
  <c r="H14" i="105"/>
  <c r="D15" i="117"/>
  <c r="H15" i="117"/>
  <c r="D16" i="99"/>
  <c r="E14" i="118"/>
  <c r="D14" i="96"/>
  <c r="E15" i="132"/>
  <c r="H15" i="132"/>
  <c r="E15" i="130"/>
  <c r="H15" i="130"/>
  <c r="E15" i="85"/>
  <c r="H15" i="85"/>
  <c r="D15" i="107"/>
  <c r="H15" i="107"/>
  <c r="E15" i="129"/>
  <c r="H15" i="129"/>
  <c r="E15" i="128"/>
  <c r="H15" i="128"/>
  <c r="E118" i="124"/>
  <c r="E113" i="124"/>
  <c r="E101" i="124"/>
  <c r="E90" i="124"/>
  <c r="E68" i="124"/>
  <c r="E75" i="124"/>
  <c r="E53" i="124"/>
  <c r="E38" i="124"/>
  <c r="E80" i="124"/>
  <c r="E63" i="124"/>
  <c r="E33" i="124"/>
  <c r="E14" i="124"/>
  <c r="E9" i="124"/>
  <c r="E58" i="124"/>
  <c r="E48" i="124"/>
  <c r="E24" i="124"/>
  <c r="E43" i="124"/>
  <c r="E106" i="124"/>
  <c r="A12" i="103"/>
  <c r="A12" i="93"/>
  <c r="A47" i="87"/>
  <c r="A32" i="108"/>
  <c r="A47" i="125"/>
  <c r="A32" i="106"/>
  <c r="A47" i="128"/>
  <c r="A47" i="85"/>
  <c r="A47" i="88"/>
  <c r="A32" i="131"/>
  <c r="A47" i="95"/>
  <c r="A32" i="132"/>
  <c r="A47" i="130"/>
  <c r="A47" i="129"/>
  <c r="A27" i="2"/>
  <c r="A21" i="2"/>
  <c r="A17" i="98"/>
  <c r="A41" i="88"/>
  <c r="A8" i="130"/>
  <c r="A17" i="91"/>
  <c r="A8" i="128"/>
  <c r="A8" i="107"/>
  <c r="H7" i="95"/>
  <c r="G7" i="96"/>
  <c r="C59" i="124"/>
  <c r="C60" i="124"/>
  <c r="C58" i="124"/>
  <c r="C61" i="124"/>
  <c r="C24" i="124"/>
  <c r="C25" i="124"/>
  <c r="C27" i="124"/>
  <c r="C26" i="124"/>
  <c r="V21" i="120"/>
  <c r="E7" i="101"/>
  <c r="AA39" i="120"/>
  <c r="G7" i="111"/>
  <c r="G7" i="90"/>
  <c r="H7" i="88"/>
  <c r="AA35" i="120"/>
  <c r="H7" i="108"/>
  <c r="C80" i="124"/>
  <c r="C82" i="124"/>
  <c r="C81" i="124"/>
  <c r="C83" i="124"/>
  <c r="V28" i="120"/>
  <c r="E7" i="103"/>
  <c r="C121" i="124"/>
  <c r="C119" i="124"/>
  <c r="C120" i="124"/>
  <c r="C118" i="124"/>
  <c r="C145" i="124"/>
  <c r="C144" i="124"/>
  <c r="C41" i="124"/>
  <c r="C39" i="124"/>
  <c r="C38" i="124"/>
  <c r="C40" i="124"/>
  <c r="AA45" i="120"/>
  <c r="H7" i="115"/>
  <c r="C14" i="124"/>
  <c r="C15" i="124"/>
  <c r="C16" i="124"/>
  <c r="C17" i="124"/>
  <c r="C114" i="124"/>
  <c r="C113" i="124"/>
  <c r="C116" i="124"/>
  <c r="C115" i="124"/>
  <c r="AF49" i="120"/>
  <c r="H7" i="119"/>
  <c r="AF14" i="120"/>
  <c r="H7" i="128"/>
  <c r="AF41" i="120"/>
  <c r="H7" i="113"/>
  <c r="C68" i="124"/>
  <c r="C70" i="124"/>
  <c r="C71" i="124"/>
  <c r="C69" i="124"/>
  <c r="C47" i="124"/>
  <c r="C43" i="124"/>
  <c r="C45" i="124"/>
  <c r="C44" i="124"/>
  <c r="C46" i="124"/>
  <c r="K8" i="130"/>
  <c r="E85" i="124"/>
  <c r="E117" i="124"/>
  <c r="H41" i="132"/>
  <c r="K8" i="132"/>
  <c r="H39" i="132"/>
  <c r="B18" i="124"/>
  <c r="B19" i="124"/>
  <c r="B20" i="124"/>
  <c r="B21" i="124"/>
  <c r="B22" i="124"/>
  <c r="B9" i="124"/>
  <c r="B10" i="124"/>
  <c r="B11" i="124"/>
  <c r="B12" i="124"/>
  <c r="H56" i="95"/>
  <c r="H58" i="95"/>
  <c r="H62" i="95"/>
  <c r="H54" i="95"/>
  <c r="H52" i="95"/>
  <c r="E8" i="124"/>
  <c r="K8" i="95"/>
  <c r="H60" i="95"/>
  <c r="H41" i="108"/>
  <c r="E112" i="124"/>
  <c r="K8" i="108"/>
  <c r="H39" i="108"/>
  <c r="H43" i="108"/>
  <c r="B89" i="124"/>
  <c r="B90" i="124"/>
  <c r="B91" i="124"/>
  <c r="B92" i="124"/>
  <c r="B93" i="124"/>
  <c r="B80" i="124"/>
  <c r="B81" i="124"/>
  <c r="B82" i="124"/>
  <c r="B83" i="124"/>
  <c r="B84" i="124"/>
  <c r="B85" i="124"/>
  <c r="B86" i="124"/>
  <c r="B87" i="124"/>
  <c r="B88" i="124"/>
  <c r="B75" i="124"/>
  <c r="B76" i="124"/>
  <c r="B77" i="124"/>
  <c r="B78" i="124"/>
  <c r="B62" i="124"/>
  <c r="B63" i="124"/>
  <c r="B64" i="124"/>
  <c r="B65" i="124"/>
  <c r="B66" i="124"/>
  <c r="B53" i="124"/>
  <c r="B54" i="124"/>
  <c r="B55" i="124"/>
  <c r="B56" i="124"/>
  <c r="H58" i="125"/>
  <c r="E19" i="124"/>
  <c r="E27" i="99"/>
  <c r="H60" i="128"/>
  <c r="E42" i="124"/>
  <c r="K8" i="128"/>
  <c r="H58" i="128"/>
  <c r="H52" i="128"/>
  <c r="H54" i="128"/>
  <c r="H56" i="128"/>
  <c r="E32" i="124"/>
  <c r="H52" i="85"/>
  <c r="H60" i="85"/>
  <c r="K8" i="85"/>
  <c r="H54" i="85"/>
  <c r="H62" i="85"/>
  <c r="H56" i="85"/>
  <c r="H58" i="85"/>
  <c r="H41" i="131"/>
  <c r="E105" i="124"/>
  <c r="K8" i="131"/>
  <c r="H39" i="131"/>
  <c r="H43" i="131"/>
  <c r="K8" i="88"/>
  <c r="E74" i="124"/>
  <c r="H52" i="88"/>
  <c r="H54" i="88"/>
  <c r="H58" i="88"/>
  <c r="H56" i="88"/>
  <c r="H58" i="129"/>
  <c r="E62" i="124"/>
  <c r="H56" i="129"/>
  <c r="H52" i="129"/>
  <c r="K8" i="129"/>
  <c r="H54" i="129"/>
  <c r="B38" i="124"/>
  <c r="B39" i="124"/>
  <c r="B40" i="124"/>
  <c r="B41" i="124"/>
  <c r="B47" i="124"/>
  <c r="B48" i="124"/>
  <c r="B49" i="124"/>
  <c r="B50" i="124"/>
  <c r="B51" i="124"/>
  <c r="B33" i="124"/>
  <c r="B34" i="124"/>
  <c r="B35" i="124"/>
  <c r="B36" i="124"/>
  <c r="B42" i="124"/>
  <c r="B43" i="124"/>
  <c r="B44" i="124"/>
  <c r="B45" i="124"/>
  <c r="B46" i="124"/>
  <c r="I27" i="99"/>
  <c r="E52" i="124"/>
  <c r="K8" i="87"/>
  <c r="H54" i="87"/>
  <c r="H60" i="87"/>
  <c r="H58" i="87"/>
  <c r="H52" i="87"/>
  <c r="H56" i="87"/>
  <c r="H43" i="106"/>
  <c r="H45" i="106"/>
  <c r="H39" i="106"/>
  <c r="K8" i="106"/>
  <c r="H41" i="106"/>
  <c r="E100" i="124"/>
  <c r="E18" i="124"/>
  <c r="H52" i="125"/>
  <c r="H60" i="125"/>
  <c r="H56" i="125"/>
  <c r="H54" i="125"/>
  <c r="K8" i="125"/>
  <c r="H56" i="130"/>
  <c r="E84" i="124"/>
  <c r="H54" i="130"/>
  <c r="H52" i="130"/>
  <c r="B23" i="124"/>
  <c r="B24" i="124"/>
  <c r="B25" i="124"/>
  <c r="B26" i="124"/>
  <c r="B27" i="124"/>
  <c r="B14" i="124"/>
  <c r="B15" i="124"/>
  <c r="B16" i="124"/>
  <c r="B17" i="124"/>
  <c r="B58" i="124"/>
  <c r="B59" i="124"/>
  <c r="B60" i="124"/>
  <c r="B61" i="124"/>
  <c r="B67" i="124"/>
  <c r="B68" i="124"/>
  <c r="B69" i="124"/>
  <c r="B70" i="124"/>
  <c r="B71" i="124"/>
  <c r="C51" i="124"/>
  <c r="C48" i="124"/>
  <c r="C49" i="124"/>
  <c r="C50" i="124"/>
</calcChain>
</file>

<file path=xl/sharedStrings.xml><?xml version="1.0" encoding="utf-8"?>
<sst xmlns="http://schemas.openxmlformats.org/spreadsheetml/2006/main" count="1044" uniqueCount="748">
  <si>
    <t>Geschäftsfeld</t>
  </si>
  <si>
    <t>Programmierungstätigkeiten</t>
  </si>
  <si>
    <t>Betrieb-, Support-, Installations- und Wartungsleistungen</t>
  </si>
  <si>
    <t>IT-Infrastrukturdienste</t>
  </si>
  <si>
    <t>Geschäftsfelder ausserhalb der IT-Dienstleistungen</t>
  </si>
  <si>
    <t>WEITER</t>
  </si>
  <si>
    <t>Bundesamt für Statistik BFS</t>
  </si>
  <si>
    <t xml:space="preserve">Häufig angewendete Preisfestsetzungsmethode mit einem "X" kennzeichnen </t>
  </si>
  <si>
    <t>Wie hoch war der verrechnete Stundenansatz in Abhängigkeit der Qualifikationsstufen Ihrer Mitarbeiter?</t>
  </si>
  <si>
    <t>Kurzbeschrieb der anderen Form der Preisfestsetzung</t>
  </si>
  <si>
    <t>Wir danken Ihnen herzlich für Ihre wertvolle Mitarbeit!</t>
  </si>
  <si>
    <t>Bitte geben Sie nur den Umsatz der Dienstleistungen an, bei denen ein substanzieller Anteil der Wertschöpfung in der Schweiz erfolgte</t>
  </si>
  <si>
    <t>Sollten Sie Komplettpakete (bspw. Beratungsdienstleistungen inkl. Programmierungstätigkeiten) anbieten, sind die Tätigkeiten entsprechend ihren Umsatzanteilen auf die Geschäftsfelder aufzuteilen.</t>
  </si>
  <si>
    <t>Andere Form der Preisfestsetzung</t>
  </si>
  <si>
    <t>Zeithonorare</t>
  </si>
  <si>
    <t xml:space="preserve">Gab es Preisänderungen ohne Änderungen im Leistungsumfang? Falls ja, bitte kurz begründen (Tarifänderungen, Marktlage etc.) </t>
  </si>
  <si>
    <t>Lizenzgebühr (ggf. zzgl. Recurring Fee)</t>
  </si>
  <si>
    <t>Bitte geben Sie die skalierbare Einheit an:</t>
  </si>
  <si>
    <t>Festpreis</t>
  </si>
  <si>
    <t>Kursgebühr</t>
  </si>
  <si>
    <t>Wie hoch war die den Kunden in Rechnung gestellte durchschnittliche Kursgebühr pro Stunde und Teilnehmer?</t>
  </si>
  <si>
    <r>
      <t xml:space="preserve">1 Programmierung
</t>
    </r>
    <r>
      <rPr>
        <sz val="12"/>
        <color theme="1"/>
        <rFont val="Arial"/>
        <family val="2"/>
      </rPr>
      <t>Export</t>
    </r>
    <r>
      <rPr>
        <b/>
        <sz val="12"/>
        <color theme="1"/>
        <rFont val="Arial"/>
        <family val="2"/>
      </rPr>
      <t xml:space="preserve"> </t>
    </r>
    <r>
      <rPr>
        <sz val="12"/>
        <color theme="1"/>
        <rFont val="Arial"/>
        <family val="2"/>
      </rPr>
      <t>(mind. 0.5 Mio)</t>
    </r>
  </si>
  <si>
    <t>Exit 1</t>
  </si>
  <si>
    <t>Exit 2</t>
  </si>
  <si>
    <t>Exit 3</t>
  </si>
  <si>
    <t>Exit 4</t>
  </si>
  <si>
    <t>Exit 5</t>
  </si>
  <si>
    <t>Exit</t>
  </si>
  <si>
    <t>normal</t>
  </si>
  <si>
    <t>ausgeblendet</t>
  </si>
  <si>
    <r>
      <t xml:space="preserve">2 Beratung
</t>
    </r>
    <r>
      <rPr>
        <sz val="12"/>
        <color theme="1"/>
        <rFont val="Arial"/>
        <family val="2"/>
      </rPr>
      <t>Export</t>
    </r>
    <r>
      <rPr>
        <b/>
        <sz val="12"/>
        <color theme="1"/>
        <rFont val="Arial"/>
        <family val="2"/>
      </rPr>
      <t xml:space="preserve"> </t>
    </r>
    <r>
      <rPr>
        <sz val="12"/>
        <color theme="1"/>
        <rFont val="Arial"/>
        <family val="2"/>
      </rPr>
      <t>(mind. 0.5 Mio)</t>
    </r>
  </si>
  <si>
    <r>
      <t xml:space="preserve">3 BSWI
</t>
    </r>
    <r>
      <rPr>
        <sz val="12"/>
        <color theme="1"/>
        <rFont val="Arial"/>
        <family val="2"/>
      </rPr>
      <t>Export</t>
    </r>
    <r>
      <rPr>
        <b/>
        <sz val="12"/>
        <color theme="1"/>
        <rFont val="Arial"/>
        <family val="2"/>
      </rPr>
      <t xml:space="preserve"> </t>
    </r>
    <r>
      <rPr>
        <sz val="12"/>
        <color theme="1"/>
        <rFont val="Arial"/>
        <family val="2"/>
      </rPr>
      <t>(mind. 0.5 Mio)</t>
    </r>
  </si>
  <si>
    <r>
      <t xml:space="preserve">4 IT-Infrastrukturdienste
</t>
    </r>
    <r>
      <rPr>
        <sz val="12"/>
        <color theme="1"/>
        <rFont val="Arial"/>
        <family val="2"/>
      </rPr>
      <t>Export (mind. 0.5 Mio)</t>
    </r>
  </si>
  <si>
    <t>Definieren Sie dabei bitte auch den Umfang des Produktes (bspw. Basispaket vs. Komplettpaket, Vollversion vs. Studentenversion etc.)</t>
  </si>
  <si>
    <t>Select for language: 3=de, 4=fr</t>
  </si>
  <si>
    <t>field_name</t>
  </si>
  <si>
    <t>linked</t>
  </si>
  <si>
    <t xml:space="preserve">de </t>
  </si>
  <si>
    <t>fr</t>
  </si>
  <si>
    <t>month_report</t>
  </si>
  <si>
    <t>month_previous</t>
  </si>
  <si>
    <t>partno</t>
  </si>
  <si>
    <t>Partno</t>
  </si>
  <si>
    <t>pms</t>
  </si>
  <si>
    <t>PMS</t>
  </si>
  <si>
    <t>noga</t>
  </si>
  <si>
    <t>NOGA</t>
  </si>
  <si>
    <t>firm</t>
  </si>
  <si>
    <t>town</t>
  </si>
  <si>
    <t>firstname</t>
  </si>
  <si>
    <t>lastname</t>
  </si>
  <si>
    <t>email</t>
  </si>
  <si>
    <t>survey</t>
  </si>
  <si>
    <t>Preiserhebung</t>
  </si>
  <si>
    <t>sppi</t>
  </si>
  <si>
    <t>Produzentenpreisindex</t>
  </si>
  <si>
    <t>it_dl</t>
  </si>
  <si>
    <t>Informatikdienstleistungen</t>
  </si>
  <si>
    <t>prestakey</t>
  </si>
  <si>
    <t>address</t>
  </si>
  <si>
    <t>business_field_0</t>
  </si>
  <si>
    <t>business_type_0</t>
  </si>
  <si>
    <t>Dienstleistungstyp</t>
  </si>
  <si>
    <t>business_field_1</t>
  </si>
  <si>
    <t>business_type_1_1</t>
  </si>
  <si>
    <t>Software nach Kundenwunsch</t>
  </si>
  <si>
    <t>business_type_1_2</t>
  </si>
  <si>
    <t>Standardsoftware</t>
  </si>
  <si>
    <t>business_field_2</t>
  </si>
  <si>
    <t>IT-Beratungsdienstleistungen</t>
  </si>
  <si>
    <t>business_type_2_1</t>
  </si>
  <si>
    <t>Beratung zu Hard- &amp; Softwarebeschaffung</t>
  </si>
  <si>
    <t>business_type_2_2</t>
  </si>
  <si>
    <t>Expertise zur Systemintegration</t>
  </si>
  <si>
    <t>business_type_2_3</t>
  </si>
  <si>
    <t>Schulung &amp; Training</t>
  </si>
  <si>
    <t>business_field_3</t>
  </si>
  <si>
    <t>business_type_3_1</t>
  </si>
  <si>
    <t>Betrieb, Support &amp; Wartung</t>
  </si>
  <si>
    <t>business_type_3_2</t>
  </si>
  <si>
    <t>Installation</t>
  </si>
  <si>
    <t>business_field_4</t>
  </si>
  <si>
    <t>business_type_4_1</t>
  </si>
  <si>
    <t>Infrastructure as a Service (IaaS)</t>
  </si>
  <si>
    <t>business_type_4_2</t>
  </si>
  <si>
    <t>Platform as a Service (PaaS)</t>
  </si>
  <si>
    <t>business_type_4_3</t>
  </si>
  <si>
    <t>Software as a Service (SaaS)</t>
  </si>
  <si>
    <t>plan</t>
  </si>
  <si>
    <t>Plan</t>
  </si>
  <si>
    <t>plan_desc</t>
  </si>
  <si>
    <t>build</t>
  </si>
  <si>
    <t>Build</t>
  </si>
  <si>
    <t>build_desc</t>
  </si>
  <si>
    <t>run</t>
  </si>
  <si>
    <t>Run</t>
  </si>
  <si>
    <t>run_desc</t>
  </si>
  <si>
    <t>bereich</t>
  </si>
  <si>
    <t>Bereich</t>
  </si>
  <si>
    <t>qualification_question_1</t>
  </si>
  <si>
    <t>qualification_question_2</t>
  </si>
  <si>
    <t>service_question_1</t>
  </si>
  <si>
    <t>Zu welchem Preis bieten Sie die von Ihnen beschriebene Software an?</t>
  </si>
  <si>
    <t>service_description_0</t>
  </si>
  <si>
    <t>software_desc_1</t>
  </si>
  <si>
    <t>Wahl der Software:</t>
  </si>
  <si>
    <t>software_desc_2</t>
  </si>
  <si>
    <t>Die ausgewählte Software sollte möglichst repräsentativ für Ihre aktuellen und auch zukünftigen Programmierungstätigkeiten sein. Insbesondere werden übliche (d.h. immer wiederkehrende) grössere Aufträge einem einmaligen Grossauftrag vorgezogen.</t>
  </si>
  <si>
    <t>qualification</t>
  </si>
  <si>
    <t>qualification_0</t>
  </si>
  <si>
    <t>Beispiele für Qualifikationsstufen</t>
  </si>
  <si>
    <t>qualification_1</t>
  </si>
  <si>
    <t>qualification_2</t>
  </si>
  <si>
    <t>qualification_3</t>
  </si>
  <si>
    <t>qualification_discount_0</t>
  </si>
  <si>
    <t>Stundenansätze</t>
  </si>
  <si>
    <t>qualification_discount_1</t>
  </si>
  <si>
    <t>customer_ch</t>
  </si>
  <si>
    <t>Kunde in der Schweiz</t>
  </si>
  <si>
    <t>customer_ext</t>
  </si>
  <si>
    <t>Kunde im Ausland</t>
  </si>
  <si>
    <t>customer_ch_desc</t>
  </si>
  <si>
    <t>customer_ext_desc</t>
  </si>
  <si>
    <t>currency</t>
  </si>
  <si>
    <t>Währung</t>
  </si>
  <si>
    <t>currency_desc</t>
  </si>
  <si>
    <t>price</t>
  </si>
  <si>
    <t>Preis</t>
  </si>
  <si>
    <t>honorary</t>
  </si>
  <si>
    <t>Honorar/h</t>
  </si>
  <si>
    <t>time_share</t>
  </si>
  <si>
    <t>Zeitanteil</t>
  </si>
  <si>
    <t>percent</t>
  </si>
  <si>
    <t>%</t>
  </si>
  <si>
    <t>number</t>
  </si>
  <si>
    <t>Anzahl</t>
  </si>
  <si>
    <t>remarks</t>
  </si>
  <si>
    <t>department</t>
  </si>
  <si>
    <t>Eidg. Departement des Innern</t>
  </si>
  <si>
    <t>bfs</t>
  </si>
  <si>
    <t>division</t>
  </si>
  <si>
    <t>Abt. Wirtschaft, Sektion PREIS</t>
  </si>
  <si>
    <t>course_question_1</t>
  </si>
  <si>
    <t>course_question_2</t>
  </si>
  <si>
    <t>Wie gut waren die Kurse im Durchschnitt besucht?</t>
  </si>
  <si>
    <t>course_fee</t>
  </si>
  <si>
    <t xml:space="preserve">Durchschnittliche Kursgebühr pro Kursstunde und Teilnehmer </t>
  </si>
  <si>
    <t>course_participants</t>
  </si>
  <si>
    <t>Durchschnittliche Anzahl Teilnehmer pro Kurs</t>
  </si>
  <si>
    <t>course_desc</t>
  </si>
  <si>
    <t>installation_question</t>
  </si>
  <si>
    <t>Zu welchem Preis würden Sie den von Ihnen beschriebenen typischen Installationsauftrag anbieten?</t>
  </si>
  <si>
    <t>installation_typical</t>
  </si>
  <si>
    <t>installation_desc</t>
  </si>
  <si>
    <t>iaas_scaling_unit</t>
  </si>
  <si>
    <t>iaas_unit_01</t>
  </si>
  <si>
    <t>iaas_unit_02</t>
  </si>
  <si>
    <t>Einheit</t>
  </si>
  <si>
    <t>Definieren Sie je 3 bis 5 repräsentative Qualifikationsstufen:</t>
  </si>
  <si>
    <t>CHF</t>
  </si>
  <si>
    <t>USD</t>
  </si>
  <si>
    <t>example</t>
  </si>
  <si>
    <t>Beispiel</t>
  </si>
  <si>
    <t>Projektleiter</t>
  </si>
  <si>
    <t>project_manager</t>
  </si>
  <si>
    <t>sum_time_share</t>
  </si>
  <si>
    <t>Defintion "Kunde in der Schweiz": Adresse des Leistungsbezügers im Inland.</t>
  </si>
  <si>
    <t>Definition "Kunde im Ausland": Adresse des Leistungsbezügers im Ausland.</t>
  </si>
  <si>
    <t>control_time_share</t>
  </si>
  <si>
    <t>% von 100% zugeteilt</t>
  </si>
  <si>
    <t xml:space="preserve">Die Zeitanteile der angegebenen Qualifikationsstufen müssen sich zu 100% addieren. Gegebenenfalls nicht genannte Qualifikationsstufen sind bei den Zeitanteilen also nicht zu berücksichtigen.  </t>
  </si>
  <si>
    <t>sales_question_2</t>
  </si>
  <si>
    <t>sales_question_1</t>
  </si>
  <si>
    <t xml:space="preserve">Wie kann der Umsatz mit </t>
  </si>
  <si>
    <t>back</t>
  </si>
  <si>
    <t>ZURÜCK</t>
  </si>
  <si>
    <t>continue</t>
  </si>
  <si>
    <t>Bitte überprüfen Sie die Zeitanteile</t>
  </si>
  <si>
    <t>check_time_share</t>
  </si>
  <si>
    <t>Bitte mindestens eine Qualifikationsstufe eingeben</t>
  </si>
  <si>
    <t>check_qualification</t>
  </si>
  <si>
    <t>Dienstleistungstyp "Software nach Kundenwunsch" beinhaltet das Entwerfen des Aufbaus und/oder Schreibens des Computercodes einschliesslich der Aktualisierungen und Korrekturen, die für die Erstellung und Realisierung einer Softwareanwendung erforderlich sind. Zudem die Entwicklung und die Einrichtung von Kundennetzwerken wie Intranets, Extranets und virtuellen privaten Netzwerken und Dienstleistungen der Netzsicherheitsplanung und -entwicklung (d.h. Entwerfen, Entwickeln und Realisieren von Software, Hardware und Verfahren zur Kontrolle des Zugangs zu Daten und Programmen und zur Ermöglichung eines sicheren Informationsaustauschs über ein Netz).</t>
  </si>
  <si>
    <t>Der Dienstleistungstyp "Standardsoftware" umfasst die Herstellung von Software, die ohne konkreten Auftrag produziert wird und für den Verkauf bestimmte Originale, die urheberrechtlich geschützt sind.</t>
  </si>
  <si>
    <t>check_export_share</t>
  </si>
  <si>
    <t>Bitte geben Sie auch die Exportanteile an, ggf. auch jeweils 0%</t>
  </si>
  <si>
    <t>check_sales_share</t>
  </si>
  <si>
    <t>def_exp</t>
  </si>
  <si>
    <t>Dienstleistungen gelten als exportiert, wenn die Adresse des Leistungsbezügers im Ausland liegt.</t>
  </si>
  <si>
    <t>check_sales</t>
  </si>
  <si>
    <t>Bitte geben Sie Ihren Umsatz an</t>
  </si>
  <si>
    <t>total_sales_2012</t>
  </si>
  <si>
    <t>sales_CH</t>
  </si>
  <si>
    <t>sales_share</t>
  </si>
  <si>
    <t>sales_export_share</t>
  </si>
  <si>
    <t>business_field_5</t>
  </si>
  <si>
    <t>sales_share_business_field</t>
  </si>
  <si>
    <t>Das Geschäftsfeld "Programmierungstätigkeit" umfasst das Entwerfen der Struktur und des Inhalts zur Herstellung von Systemsoftware, Softwareanwendungen, Datenbanken und Web-Seiten. In diesem Geschäftsfeld werden die Dienstleistungstypen "Software nach Kundenwunsch" und "Standardsoftware" unterschieden.</t>
  </si>
  <si>
    <t>Das Geschäftsfeld "IT-Infrastrukturdienste" umfasst die Bereitstellung von Infrastrukturen für Hosting und Datenverarbeitungsdienste. Teil dieses Geschäftsfeldes sind die Dienstleistungstypen "Infrastructure as a Service (IaaS)", " Platform as a Service (PaaS)" und "Software as a Service (SaaS)".</t>
  </si>
  <si>
    <t>note_business_field</t>
  </si>
  <si>
    <t>Das Geschäftsfeld "Betrieb-, Support-, Installations- und Wartungsleistungen" umfasst den Betrieb, den Support und die Wartung von Computeranlagen für Dritte, sowie die Installation von Software. Es beinhaltet die Dienstleistungstypen: "Betrieb, Support und Wartung" und "Installation".</t>
  </si>
  <si>
    <t>note</t>
  </si>
  <si>
    <t>definition</t>
  </si>
  <si>
    <t>Definition</t>
  </si>
  <si>
    <t>Anmerkung</t>
  </si>
  <si>
    <t>definitions</t>
  </si>
  <si>
    <t>Definitionen</t>
  </si>
  <si>
    <t>notes</t>
  </si>
  <si>
    <t>Anmerkungen</t>
  </si>
  <si>
    <t>def_field_1</t>
  </si>
  <si>
    <t>def_field_2</t>
  </si>
  <si>
    <t>def_field_3</t>
  </si>
  <si>
    <t>def_field_4</t>
  </si>
  <si>
    <t>def_type_1_1</t>
  </si>
  <si>
    <t>def_type_1_2</t>
  </si>
  <si>
    <t>def_type_2_1</t>
  </si>
  <si>
    <t>def_type_2_2</t>
  </si>
  <si>
    <t>def_type_2_3</t>
  </si>
  <si>
    <t xml:space="preserve">Der Dienstleistungstyp "Beratung zu Hard- und Softwarebeschaffung" beinhaltet die Bereitstellung von Rat oder Fachmeinungen zu IT-Angelegenheiten in Bezug auf Hardware, sowie auf die IT-Systeme und die Software. </t>
  </si>
  <si>
    <t>Der Dienstleistungstyp "Expertise zur Systemintegration" umfasst die Beratung zur Integration von Computersystemen (d.h. bspw. die Analyse des vorhandenen Computersystems des Kunden in Bezug auf seine gegenwärtigen sowie künftigen IT-Bedürfnisse), die Beratung bezüglich der Anschaffung neuer Geräte und Software sowie die Beratung zur Integration der neuen mit den alten Systemen zu einem neuen, integrierten System.</t>
  </si>
  <si>
    <t>Im Dienstleistungstyp "Schulung und Training" wird die Bereitstellung von Fachwissen zur Lösung von Problemen des Kunden bei der Nutzung von Software, Hardware und gesamten Computersystemen zusammengefasst.</t>
  </si>
  <si>
    <t>pricing_question</t>
  </si>
  <si>
    <t>pricing_selection</t>
  </si>
  <si>
    <t>pricing_fix_price</t>
  </si>
  <si>
    <t>pricing_rate</t>
  </si>
  <si>
    <t>pricing_other</t>
  </si>
  <si>
    <t>pricing_course_fee</t>
  </si>
  <si>
    <t>pricing_fix_price_unit</t>
  </si>
  <si>
    <t>pricing_other_desc</t>
  </si>
  <si>
    <t>def_fix_price</t>
  </si>
  <si>
    <t>def_rate</t>
  </si>
  <si>
    <t>def_fix_price_unit</t>
  </si>
  <si>
    <t>def_fix_price_typical</t>
  </si>
  <si>
    <t>def_course_fee</t>
  </si>
  <si>
    <t>Festpreis: Der im Voraus festgelegte Lieferumfang der Software wird zu einem bei Vertragsabschluss festgelegten Preis entwickelt.</t>
  </si>
  <si>
    <t>Bitte wählen Sie eine häufig angewendete Preisfestsetzungsmethode</t>
  </si>
  <si>
    <t>check_pricing</t>
  </si>
  <si>
    <t>description</t>
  </si>
  <si>
    <t>pricing_licence</t>
  </si>
  <si>
    <t>def_licence</t>
  </si>
  <si>
    <t xml:space="preserve">Zeithonorare: Der Preis der Software richtet sich nach der tatsächlich geleisteten Arbeitszeit. Die Zeithonorare können sich in Abhängigkeit von Qualifikationsniveau, Funktion und/oder Seniorität der Programmierer unterscheiden. </t>
  </si>
  <si>
    <t xml:space="preserve">Kursgebühr: Schulung und Training werden zu festen Gebühren pro Stunde und Kursteilnehmer verrechnet. </t>
  </si>
  <si>
    <t>vat</t>
  </si>
  <si>
    <t>Die Preise sind ohne Mehrwertsteuer anzugeben.</t>
  </si>
  <si>
    <t>check_software</t>
  </si>
  <si>
    <t>check_data_report</t>
  </si>
  <si>
    <t>check_data_previous</t>
  </si>
  <si>
    <t>check_currency</t>
  </si>
  <si>
    <t>Bitte geben Sie die Währung an</t>
  </si>
  <si>
    <t>licence_question_1</t>
  </si>
  <si>
    <t>licence_question_2</t>
  </si>
  <si>
    <t xml:space="preserve">Bitte beschreiben Sie kurz die zentrale Standardsoftware, für deren Nutzung Sie eine Lizenzgebühr von Ihren Kunden verlangen. </t>
  </si>
  <si>
    <t>Recurring Fee (prozentualer Anteil im Vergleich zu dem  Ersterwerb der Software)</t>
  </si>
  <si>
    <t>Durchschnittliche Lizenzgebühr bei einem Ersterwerb</t>
  </si>
  <si>
    <t>Bitte definieren Sie eine Ihrer zentralen Standardsoftware</t>
  </si>
  <si>
    <t>check_software_standard</t>
  </si>
  <si>
    <t>licence_question_3</t>
  </si>
  <si>
    <t>licence_question_4</t>
  </si>
  <si>
    <t>licence_question_5</t>
  </si>
  <si>
    <t>licence_question_6</t>
  </si>
  <si>
    <t>licence_question_7</t>
  </si>
  <si>
    <t>licence_desc</t>
  </si>
  <si>
    <t>Bemerkungen</t>
  </si>
  <si>
    <t>check_course_report_1</t>
  </si>
  <si>
    <t>check_course_report_2</t>
  </si>
  <si>
    <t>check_course_previous_1</t>
  </si>
  <si>
    <t>check_course_previous_2</t>
  </si>
  <si>
    <t>Sie haben nun die Möglichkeit für Anmerkungen und Kommentare zu dieser Umfrage:</t>
  </si>
  <si>
    <t>Beschreiben Sie einen typischen Installationsauftrag</t>
  </si>
  <si>
    <t>Bitte beschreiben Sie einen typischen Installationsauftrag</t>
  </si>
  <si>
    <t>check_installation</t>
  </si>
  <si>
    <t>Storage on Demand (x GB durchschnittliche, effektive Nutzung pro Monat), y% Verfügbarkeit, x-fache Redundanz, Service Level: Standard, Sicherheitslevel: Standard, ohne Setup beim Kunden</t>
  </si>
  <si>
    <t>virtueller Server mit x vCPU, y Memory, z Speicherplatz, x% Verfügbarkeit, Netzwerkeinbindung, Sicherheitslevel: Standard</t>
  </si>
  <si>
    <t>Bitte geben Sie die skalierbare Einheit an</t>
  </si>
  <si>
    <t>check_scaling_unit</t>
  </si>
  <si>
    <r>
      <rPr>
        <b/>
        <sz val="12"/>
        <color theme="1"/>
        <rFont val="Arial"/>
        <family val="2"/>
      </rPr>
      <t>40</t>
    </r>
    <r>
      <rPr>
        <sz val="12"/>
        <color theme="1"/>
        <rFont val="Arial"/>
        <family val="2"/>
      </rPr>
      <t xml:space="preserve">
(plafoniert = X)</t>
    </r>
  </si>
  <si>
    <r>
      <rPr>
        <b/>
        <sz val="12"/>
        <color theme="1"/>
        <rFont val="Arial"/>
        <family val="2"/>
      </rPr>
      <t>30</t>
    </r>
    <r>
      <rPr>
        <sz val="12"/>
        <color theme="1"/>
        <rFont val="Arial"/>
        <family val="2"/>
      </rPr>
      <t xml:space="preserve">
(alles ausser Zeit = X)</t>
    </r>
  </si>
  <si>
    <r>
      <rPr>
        <b/>
        <sz val="12"/>
        <color theme="1"/>
        <rFont val="Arial"/>
        <family val="2"/>
      </rPr>
      <t>201</t>
    </r>
    <r>
      <rPr>
        <sz val="12"/>
        <color theme="1"/>
        <rFont val="Arial"/>
        <family val="2"/>
      </rPr>
      <t xml:space="preserve">
(egal)</t>
    </r>
  </si>
  <si>
    <r>
      <rPr>
        <b/>
        <sz val="12"/>
        <color theme="1"/>
        <rFont val="Arial"/>
        <family val="2"/>
      </rPr>
      <t>202</t>
    </r>
    <r>
      <rPr>
        <sz val="12"/>
        <color theme="1"/>
        <rFont val="Arial"/>
        <family val="2"/>
      </rPr>
      <t xml:space="preserve">
(egal)</t>
    </r>
  </si>
  <si>
    <r>
      <rPr>
        <b/>
        <sz val="12"/>
        <color theme="1"/>
        <rFont val="Arial"/>
        <family val="2"/>
      </rPr>
      <t>203</t>
    </r>
    <r>
      <rPr>
        <sz val="12"/>
        <color theme="1"/>
        <rFont val="Arial"/>
        <family val="2"/>
      </rPr>
      <t xml:space="preserve">
(Kursgebühr = X)</t>
    </r>
  </si>
  <si>
    <r>
      <rPr>
        <b/>
        <sz val="12"/>
        <color theme="1"/>
        <rFont val="Arial"/>
        <family val="2"/>
      </rPr>
      <t>101</t>
    </r>
    <r>
      <rPr>
        <sz val="12"/>
        <color theme="1"/>
        <rFont val="Arial"/>
        <family val="2"/>
      </rPr>
      <t xml:space="preserve">
(Festpreis = X)</t>
    </r>
  </si>
  <si>
    <r>
      <rPr>
        <b/>
        <sz val="12"/>
        <color theme="1"/>
        <rFont val="Arial"/>
        <family val="2"/>
      </rPr>
      <t>102</t>
    </r>
    <r>
      <rPr>
        <sz val="12"/>
        <color theme="1"/>
        <rFont val="Arial"/>
        <family val="2"/>
      </rPr>
      <t xml:space="preserve">
(egal)</t>
    </r>
  </si>
  <si>
    <t>11cCH</t>
  </si>
  <si>
    <t>11cEX</t>
  </si>
  <si>
    <t>12l</t>
  </si>
  <si>
    <t>c = contract (fix price)</t>
  </si>
  <si>
    <t>h = honorary (charge out rates)</t>
  </si>
  <si>
    <t>t = typical (fix price)</t>
  </si>
  <si>
    <t>u = unit (transaction based)</t>
  </si>
  <si>
    <t>CH = Schweiz</t>
  </si>
  <si>
    <t>EX = Export / Ausland</t>
  </si>
  <si>
    <t>l = licence</t>
  </si>
  <si>
    <t>32t</t>
  </si>
  <si>
    <t>31cCH</t>
  </si>
  <si>
    <t>31cEX</t>
  </si>
  <si>
    <t>32h</t>
  </si>
  <si>
    <t>41t</t>
  </si>
  <si>
    <t>41uCH</t>
  </si>
  <si>
    <t>41uEX</t>
  </si>
  <si>
    <t>42t</t>
  </si>
  <si>
    <t>42uCH</t>
  </si>
  <si>
    <t>42uEX</t>
  </si>
  <si>
    <t>43t</t>
  </si>
  <si>
    <t>43uCH</t>
  </si>
  <si>
    <t>43uEX</t>
  </si>
  <si>
    <t>Legende</t>
  </si>
  <si>
    <t>i = instruction</t>
  </si>
  <si>
    <t>23i</t>
  </si>
  <si>
    <t>def_type_3_1</t>
  </si>
  <si>
    <t>def_type_3_2</t>
  </si>
  <si>
    <t>def_type_4_1</t>
  </si>
  <si>
    <t>def_type_4_2</t>
  </si>
  <si>
    <t>def_type_4_3</t>
  </si>
  <si>
    <t>Im Dienstleistungstyp "Betrieb, Support &amp; Wartung" wird die Datenwiederherstellung nach einem Systemabsturz, die Problembehebung, die (Fern)wartung, Updating-Dienste, Netzwerkanalyse &amp; -überwachung, HelpDesk oder auch Reparaturdienste zusammengefasst.</t>
  </si>
  <si>
    <t>Der Dienstleistungstyp "Installation" beinhaltet das Installieren (Einrichten) von Arbeitsplatzrechnern und ähnlichen Tätigkeiten.</t>
  </si>
  <si>
    <t>Transaktionsbasierte Preise (Preis pro ...) zzgl. ggf. Grundpreis</t>
  </si>
  <si>
    <t>pricing_fix_price_unit_ceiling</t>
  </si>
  <si>
    <t>pricing_fix_price_recurring</t>
  </si>
  <si>
    <t>Abonnemente (monatlich, jährlich)</t>
  </si>
  <si>
    <t>Abonnemente: Wiederkehrende Leistungen werden im Rahmen eines Abonnements regelmässig verrechnet.</t>
  </si>
  <si>
    <t>def_fix_price_recurring</t>
  </si>
  <si>
    <t>def_fix_price_unit_ceiling</t>
  </si>
  <si>
    <t>Plafonierte Preise: Der Vertrag kennt eine preisliche Obergrenze, auch wenn grundsätzliche nach Volumen abgerechnet wird.</t>
  </si>
  <si>
    <t>Zu welchem Preis bieten Sie die von Ihnen beschriebene Dienstleistung an?</t>
  </si>
  <si>
    <t>service_question_2</t>
  </si>
  <si>
    <t>hypothetical</t>
  </si>
  <si>
    <t>currency_chf</t>
  </si>
  <si>
    <t>currency_eur</t>
  </si>
  <si>
    <t>currency_usd</t>
  </si>
  <si>
    <t>EUR</t>
  </si>
  <si>
    <t>service_description_2_1</t>
  </si>
  <si>
    <t>service_description_2_2</t>
  </si>
  <si>
    <t>Beispiel: Unterhalts- und Supportvertrag für ein Reisereservationssystem für Kunden X (Kundennummer: xxxx) mit 50 Benutzern, Vereinbarter Jahrespreis</t>
  </si>
  <si>
    <t>Beispiel: Mantelvertrag mit Grosskunde Y mit SLA. 4 Std. Reaktionszeit und 4 Std. für Reparatur/Ersatz von Server und Drucker, 8 Std. für Reparatur/den Ersatz eines Arbeitsplatzrechners (Auftragsnummer: xxx)</t>
  </si>
  <si>
    <t>service_description_1_ch</t>
  </si>
  <si>
    <t>service_description_1_ex</t>
  </si>
  <si>
    <t>check_contract_ex</t>
  </si>
  <si>
    <t>check_contract_ch</t>
  </si>
  <si>
    <t>iaas_typical</t>
  </si>
  <si>
    <t>paas_typical</t>
  </si>
  <si>
    <t>saas_typical</t>
  </si>
  <si>
    <t>iaas_desc_1</t>
  </si>
  <si>
    <t>iaas_desc_2</t>
  </si>
  <si>
    <t>iaas_unit_1_ch</t>
  </si>
  <si>
    <t>iaas_unit_1_ex</t>
  </si>
  <si>
    <t>paas_unit_1_ch</t>
  </si>
  <si>
    <t>paas_unit_1_ex</t>
  </si>
  <si>
    <t>paas_desc_1</t>
  </si>
  <si>
    <t>paas_desc_2</t>
  </si>
  <si>
    <t>iaas</t>
  </si>
  <si>
    <t>paas</t>
  </si>
  <si>
    <t>saas</t>
  </si>
  <si>
    <t>IaaS</t>
  </si>
  <si>
    <t>PaaS</t>
  </si>
  <si>
    <t>SaaS</t>
  </si>
  <si>
    <t>saas_unit_1_ch</t>
  </si>
  <si>
    <t>saas_unit_1_ex</t>
  </si>
  <si>
    <t>saas_desc_1</t>
  </si>
  <si>
    <t>saas_desc_2</t>
  </si>
  <si>
    <t>infrastructure_question_desc</t>
  </si>
  <si>
    <t>infrastructure_question_1</t>
  </si>
  <si>
    <t>infrastructure_question_2</t>
  </si>
  <si>
    <t>Wie hoch war der Unit-Nettopreis im unten genannten Vertrag?</t>
  </si>
  <si>
    <t>Währung: Beispielsweise in Euro (EUR), US-Dollar (USD) oder auch in CHF.</t>
  </si>
  <si>
    <t>Zu welchem Unit-Nettopreis würden Sie die von Ihnen unten beschriebene Dienstleistung anbieten?</t>
  </si>
  <si>
    <t>Transaktionsbasierte, aber plafonierte Preise</t>
  </si>
  <si>
    <t>def_recurring_fee</t>
  </si>
  <si>
    <t>Lizenzgebühr: Wird einmalig erhoben und gilt für die gesamte Nutzungsdauer einer Software oder (in Verbindung mit einer Recurring Fee) auch nur für einen bestimmten Zeitraum.</t>
  </si>
  <si>
    <t xml:space="preserve">Recurring Fee: Prozentuale Gebühr für die Verlängerung der Verwendung einer Softwarelösung; es erfolgen in der Regel keine neuen Programmierungstätigkeiten. </t>
  </si>
  <si>
    <t>Beispiel: Einrichten von X Einzelarbeitsplätzen mit dem Softwarebundle vor Ort.</t>
  </si>
  <si>
    <t>remarks_1</t>
  </si>
  <si>
    <t>remarks_2</t>
  </si>
  <si>
    <t>remarks_3</t>
  </si>
  <si>
    <t>von</t>
  </si>
  <si>
    <t>remarks_4</t>
  </si>
  <si>
    <t>Vielen Dank für Ihre Teilnahme.</t>
  </si>
  <si>
    <t>Sie sind am Ende der Umfrage angelangt.</t>
  </si>
  <si>
    <t>Beschreiben Sie eine typische SaaS-Leistung</t>
  </si>
  <si>
    <t>Beschreiben Sie eine typische IaaS-Leistung</t>
  </si>
  <si>
    <t>check_iaas_ch</t>
  </si>
  <si>
    <t>check_iaas_ex</t>
  </si>
  <si>
    <t>check_paas_ch</t>
  </si>
  <si>
    <t>check_paas_ex</t>
  </si>
  <si>
    <t>check_saas_ch</t>
  </si>
  <si>
    <t>check_saas_ex</t>
  </si>
  <si>
    <t>Bitte beschreiben Sie SaaS-Leistungen für ausländische Geschäftskunden</t>
  </si>
  <si>
    <t>Bitte beschreiben Sie SaaS-Leistungen für Schweizer Geschäftskunden</t>
  </si>
  <si>
    <t>Bitte beschreiben Sie PaaS-Leistungen für ausländische Geschäftskunden</t>
  </si>
  <si>
    <t>Bitte beschreiben Sie PaaS-Leistungen für Schweizer Geschäftskunden</t>
  </si>
  <si>
    <t>Bitte beschreiben Sie IaaS-Leistungen für ausländische Geschäftskunden</t>
  </si>
  <si>
    <t>Bitte beschreiben Sie IaaS-Leistungen für Schweizer Geschäftskunden</t>
  </si>
  <si>
    <t>Bitte beschreiben Sie Dienstleistungen an zentrale ausländische Geschäftskunden</t>
  </si>
  <si>
    <t>Bitte beschreiben Sie Dienstleistungen an zentrale Schweizer Geschäftskunden</t>
  </si>
  <si>
    <t>start</t>
  </si>
  <si>
    <t>intro_1</t>
  </si>
  <si>
    <t>intro_2</t>
  </si>
  <si>
    <t>intro_3</t>
  </si>
  <si>
    <t>intro_4</t>
  </si>
  <si>
    <t>intro_5</t>
  </si>
  <si>
    <t>intro_6</t>
  </si>
  <si>
    <t>intro_7</t>
  </si>
  <si>
    <t>intro_8</t>
  </si>
  <si>
    <t>intro_9</t>
  </si>
  <si>
    <t>intro_10</t>
  </si>
  <si>
    <t>intro_11</t>
  </si>
  <si>
    <t>intro_12</t>
  </si>
  <si>
    <t>intro_13</t>
  </si>
  <si>
    <t>START DER PREISERHEBUNG</t>
  </si>
  <si>
    <t>Bitte achten Sie stets darauf, dass alle abgefragten Preise ohne Mehrwertsteuer gemeldet werden.</t>
  </si>
  <si>
    <t xml:space="preserve">Mit welchem Zeitanteil wurden die jeweiligen Qualifikationsstufen für die Leistungserstellung eingesetzt?  </t>
  </si>
  <si>
    <t xml:space="preserve">Die durchschnittliche Lizenzgebühr errechnet sich aus den gesamten Erlösen aus der Lizenzgebühr der beschriebenen Software geteilt durch die Anzahl verkaufter Lizenzen. Dieser Wert unterscheidet sich vom Listenpreis insbesondere auch dann, wenn teilweise Rabatte gewährt werden. </t>
  </si>
  <si>
    <t>Sollten Sie für Grosskunden Rabatte gewähren, so sind diese in Abzug zu bringen. Die ausgewiesenen Preise sollten also den durchschnittlichen über alle Kursteilnehmer effektiv verrechneten Gebühren entsprechen.</t>
  </si>
  <si>
    <t>Veillez constamment à ce que les prix demandés soient toujours indiqués sans TVA.</t>
  </si>
  <si>
    <t>Pour toutes questions, remarques ou renseignements, adressez-vous à:</t>
  </si>
  <si>
    <t>Nous vous remercions de votre précieuse collaboration!</t>
  </si>
  <si>
    <t>Enquête sur les prix</t>
  </si>
  <si>
    <t>Prestations de services informatiques</t>
  </si>
  <si>
    <t>Domaine commercial</t>
  </si>
  <si>
    <t>Type de prestations</t>
  </si>
  <si>
    <t>Activités de programmation</t>
  </si>
  <si>
    <t>Prestations en conseils IT</t>
  </si>
  <si>
    <t>Prestations en exploitation, support, installation et maintenance</t>
  </si>
  <si>
    <t>Services d'infrastructures IT</t>
  </si>
  <si>
    <t>Domaine commercial hors des prestations de service IT</t>
  </si>
  <si>
    <t>Logiciel selon vœux du client</t>
  </si>
  <si>
    <t>Logiciel standard</t>
  </si>
  <si>
    <t>Conseil en matière d'acquisition matériels et logiciels</t>
  </si>
  <si>
    <t>Expertise sur l'intégration système</t>
  </si>
  <si>
    <t>Formation et entraînement</t>
  </si>
  <si>
    <t>Exploitation, support et maintenance</t>
  </si>
  <si>
    <t>Le domaine commercial "Activités de programmation" comprend le développement de la structure et le contenu pour des logiciels système, applications logicielles, bases de données et pages web. On distingue dans ce domaine commercial les type de prestations, soit "Logiciel selon vœux du client" ou "Logiciel standard".</t>
  </si>
  <si>
    <t>Le domaine commercial "Prestations en conseils IT" comprend la planification et le développement de système d'ordinateurs, et se distingue par les types de prestations, soit "Conseil en matière d'acquisition matériels et logiciels", "Expertise pour l'intégration système" ou "Formation et entraînement".</t>
  </si>
  <si>
    <t>Le domaine commercial "Prestations en exploitation, support, installation et maintenance" comprend l'exploitation, le support et la maintenance d'installations d'ordinateurs pour des tiers, ainsi que l'installation de logiciels. Il se distingue par les types de prestations, soit "Exploitation, support et maintenance" ou "Installation".</t>
  </si>
  <si>
    <t xml:space="preserve">Le domaine commercial "Services d'infrastructures IT" comprend la mise à disposition d'infrastructures pour l'hébergement et le traitement de données. Les parties de ce domaine commercial sont constituées des types "Infrastructure as a Service (IaaS)", Platform as a Service (PaaS)" ou "Software as a Service /SaaS)". </t>
  </si>
  <si>
    <t>Le type de prestation "Logiciel selon vœux du client" comprend  la conception de la structure et/ou d’écriture du code informatique, y compris les mises à jour et les correctifs, nécessaires à la création et/ou au lancement de logiciels d’applications. En plus, le développement et l'installation de réseaux clients tels qu'Intranet, Extranet et réseaux privés virtuels (VPN), des prestations en développement et planification de la sécurité réseau (c.-à-d.. projeter, développer et réaliser des logiciels, matériels et procédures pour le contrôle des accès aux données, programmes, afin de rendre possible l'échange sécurisé d'informations sur un réseau).</t>
  </si>
  <si>
    <t>Le type de prestation "Logiciel standard" comprend l'élaboration de logiciels qui sont produits sans mandat concret et pour la vente d'originaux protégés en droits d'auteurs.</t>
  </si>
  <si>
    <t>Le type de prestation "Conseils en matière d'acquisition matériels et logiciels" comprend la fourniture de conseils et d’avis d’experts sur des questions informatiques liées au matériel, ainsi que sur des systèmes IT et les logiciels.</t>
  </si>
  <si>
    <t>Le type de prestation "Expertise sur l'intégration système" comprend  l’intégration des systèmes informatiques, c’est-à-dire l’analyse du système informatique actuel du client et de ses besoins informatiques présents et futurs, l’achat des nouveaux équipements et logiciels et l’intégration des anciens et nouveaux composants afin de créer un nouveau système intégré.</t>
  </si>
  <si>
    <t>Le type de prestation "Formation et entraînement" comprend la mise à disposition de connaissances spécialisées pour résoudre les problèmes du client lors de l'utilisation de logiciels, de matériel et l'ensemble des systèmes informatiques.</t>
  </si>
  <si>
    <t>Le type de prestation "Exploitation, support et maintenance" comprend la restauration des données après une panne système, la résolution des problèmes, la maintenance (à distance), les mises à jours, la surveillance et l'analyse du réseau, l'assistance, ainsi que des services de réparation.</t>
  </si>
  <si>
    <t>Le type de prestation "Installation" comprend l'installation (la mise en place) de places de travail et autres activités semblables.</t>
  </si>
  <si>
    <t>Le type de prestation "Infrastructure as a Service (IaaS)" comprend la mise à disposition de prestations de service, des capacités de traitement, des capacités mémoire, des services réseaux, etc., aussi bien séparés physiquement (par ex. une armoire dans un centre de calculs) que virtuels.</t>
  </si>
  <si>
    <t>Le type de prestation "Software as a Service (SaaS)" permet au client l'utilisation des services logiciels sur une infrastructure différente, par ex. CRM (Customer Relationshiop Management) ou ERP (Enterprise Ressource Planning).</t>
  </si>
  <si>
    <t>Quelle est la forme d'offre de votre prestation?</t>
  </si>
  <si>
    <t>Marquez par "X" la méthode de fixation des prix la plus fréquente</t>
  </si>
  <si>
    <t>Prix fixe</t>
  </si>
  <si>
    <t>Honoraire horaire</t>
  </si>
  <si>
    <t>Frais de licence (év., plus les frais récurrents)</t>
  </si>
  <si>
    <t>Tarif des cours</t>
  </si>
  <si>
    <t>Abonnements (mensuellement, annuellement)</t>
  </si>
  <si>
    <t>Prix basés sur une transaction (prix par…), év., plus les frais de base</t>
  </si>
  <si>
    <t>Prix basés sur une transaction, mais plafonné</t>
  </si>
  <si>
    <t>Autre forme de fixation du prix</t>
  </si>
  <si>
    <t>Prix fixe: l'ensemble logiciel fixé à l'avance est développé à un prix fixé lors de la conclusion du contrat.</t>
  </si>
  <si>
    <t>Honoraire horaire: le prix du logiciel se détermine selon le temps de travail effectivement utilisé. Les honoraires horaires peuvent être dépendant du niveau de qualification, de la fonction et/ou de l'ancienneté des programmeurs.</t>
  </si>
  <si>
    <t>Frais de licence: sont encaissés une fois et sont valable pour toute la durée d'utilisation d'un logiciel, ou (en relation avec des frais récurrents) également pour un espace temps limité.</t>
  </si>
  <si>
    <t>Frais récurrents: frais au prorata de la prolongation d'utilisation d'une solution logicielle; il n'y a en principe pas de nouvelle activité de programmation.</t>
  </si>
  <si>
    <t>Tarif des cours: la formation et l'entraînement sont comptés à partir d'une taxe fixe par heure et par participant.</t>
  </si>
  <si>
    <t>Abonnements: des prestations répétitives sont régulièrement calculées dans le cadre d'un abonnement.</t>
  </si>
  <si>
    <t>Prix plafonnés: le contrat contient une limite supérieure, même si l'on compte fondamentalement en fonction du volume.</t>
  </si>
  <si>
    <t>Brève description des autres formes de fixation du prix.</t>
  </si>
  <si>
    <t>Planification</t>
  </si>
  <si>
    <t>Les collaborateurs du domaine 'Planification' sont, par exemple, des conseillers ICT, des architectes ICT, des gestionnaires qualité ICT.</t>
  </si>
  <si>
    <t>Construction</t>
  </si>
  <si>
    <t>Les collaborateurs du domaine 'Construction' sont, par exemple, des développeurs d'applications, des ingénieurs système, des informaticiens de gestion.</t>
  </si>
  <si>
    <t>Déroulement</t>
  </si>
  <si>
    <t>Les collaborateurs du domaine 'Déroulement' sont, par exemple, des spécialistes système, des collaborateurs de l'assistance, des administrateurs système, des supporter ICT, des contrôleurs système, des assistants aux utilisateurs, des techniciens ICT, des gestionnaires système ICT.</t>
  </si>
  <si>
    <t>Domaine</t>
  </si>
  <si>
    <t>Ne donnez que le chiffre d'affaires des prestations pour lesquelles une part substantielle de la valeur ajoutée s'est déroulée en Suisse</t>
  </si>
  <si>
    <t>A combien se monte le coût horaire dépendant du niveau de qualification de vos collaborateurs?</t>
  </si>
  <si>
    <t>Quelle portion temps a été mise en œuvre par chaque niveau de qualification pour réaliser la prestation?</t>
  </si>
  <si>
    <t>A quel prix offrez-vous le logiciel que vous avez décrit?</t>
  </si>
  <si>
    <t>Choix du logiciel:</t>
  </si>
  <si>
    <t>Le logiciel choisi devrait être autant que possible représentatif des activités de programmation actuelles comme futures. En particulier, les gros contrats habituels (c.-à-d. répétitifs) sont préférables à un seul gros contrat.</t>
  </si>
  <si>
    <t>A quel prix offrez-vous la prestation que vous avez décrite?</t>
  </si>
  <si>
    <t>Décrivez une à trois prestations pour un client suisse important (y.c. numéro de client et contrat)</t>
  </si>
  <si>
    <t>Décrivez une à trois prestations pour un client étranger important (y.c. numéro de client et contrat)</t>
  </si>
  <si>
    <t>Exemple: contrat de maintenance et support pour un système de réservation de voyages pour le client X (numéro du client: xxxx) avec 50 utilisateurs, tarif annuel convenu.</t>
  </si>
  <si>
    <t>Exemple: contrat global pour un gros client Y avec SLA. 4 heures de temps de réaction, 4 heures pour la réparation/remplacement d'un serveur ou imprimante, 8 heures de réaction pour la réparation/remplacement d'une place de travail (numéro de contrat: xxx)</t>
  </si>
  <si>
    <t>Exemple</t>
  </si>
  <si>
    <t>Chef de projet</t>
  </si>
  <si>
    <t>Définissez de 3 à 5 niveaux représentatifs de qualification:</t>
  </si>
  <si>
    <t>Exemple pour des niveaux de qualification:</t>
  </si>
  <si>
    <t>Tarif horaire</t>
  </si>
  <si>
    <t>Décrivez brièvement le logiciel standard principal pour lequel vous demandez une taxe de licence d'utilisation auprès de votre client.</t>
  </si>
  <si>
    <t>Définissez à cet effet aussi l'importance du produit (par ex., paquet de base versus paquet complet, version complète versus version pour étudiant, etc.)</t>
  </si>
  <si>
    <t>Frais moyens de licence lors d'une première acquisition</t>
  </si>
  <si>
    <t>Frais récurrents (quota en pourcent en comparaison à la première acquisition du logiciel)</t>
  </si>
  <si>
    <t>Y-a-il eu des modifications du prix sans changement dans l'ensemble des prestations? Si oui, justifiez brièvement (changement de tarif, situation du marché, etc.)</t>
  </si>
  <si>
    <t>La redevance moyenne des licences est calculée en divisant le total des recettes de la redevance de licence du logiciel décrit par le nombre de licences vendues. Cette valeur diffère de la liste des prix, particulièrement lorsque des rabais ont été consentis.</t>
  </si>
  <si>
    <t>Les quotas horaire des niveaux de qualification indiqués doivent totaliser 100%. Le cas échéant, les niveaux de qualification non mentionnés ne doivent pas être pris en considération dans le quota horaire.</t>
  </si>
  <si>
    <t>Client en Suisse</t>
  </si>
  <si>
    <t>Client à l'étranger</t>
  </si>
  <si>
    <t>Définition "Client en Suisse" l'adresse du destinataire de la prestation est en Suisse.</t>
  </si>
  <si>
    <t>Définition "Client à l'étranger" l'adresse du destinataire de la prestation est à l'étranger.</t>
  </si>
  <si>
    <t>Monnaie</t>
  </si>
  <si>
    <t>Monnaie: par exemple en euro (EUR) en US-dollar (USD) ou en CHF</t>
  </si>
  <si>
    <t>Prix</t>
  </si>
  <si>
    <t>Honoraire/h</t>
  </si>
  <si>
    <t>Quota temps</t>
  </si>
  <si>
    <t>Nombre</t>
  </si>
  <si>
    <t>Remarques</t>
  </si>
  <si>
    <t>Département fédéral de l'intérieur</t>
  </si>
  <si>
    <t>Office fédéral de la statistique OFS</t>
  </si>
  <si>
    <t>Département économie, section PRIX</t>
  </si>
  <si>
    <t>A combien se montait, dans la facture au client, le tarif moyen des cours par heure et participant?</t>
  </si>
  <si>
    <t>A quel taux moyen les cours ont-ils été suivis?</t>
  </si>
  <si>
    <t>Tarif moyen des cours par heure et participant</t>
  </si>
  <si>
    <t>Nombre moyen des participants par cours</t>
  </si>
  <si>
    <t>Si vous consentez des rabais pour gros clients, alors ceux-ci doivent être déduits. Les prix indiqués doivent correspondre à la moyenne des tarifs effectivement facturés sur tous les participants.</t>
  </si>
  <si>
    <t>Décrivez un mandat typique d'installation</t>
  </si>
  <si>
    <t>Exemple: installer, sur place, X places de travail avec le paquet de logiciels.</t>
  </si>
  <si>
    <t>A combien se monte le prix net unitaire dans le contrat cité ci-dessous?</t>
  </si>
  <si>
    <t>Indiquez l'unité de l'échelle:</t>
  </si>
  <si>
    <t xml:space="preserve"> </t>
  </si>
  <si>
    <t>Unité</t>
  </si>
  <si>
    <t>Décrivez une prestation typique IaaS</t>
  </si>
  <si>
    <t>Décrivez une prestation IaaS pour un à trois clients suisses importants (y.c. numéro de client et contrat)</t>
  </si>
  <si>
    <t>Décrivez une prestation IaaS pour un à trois clients étrangers importants (y.c. numéro de client et contrat)</t>
  </si>
  <si>
    <t>Exemple: serveur virtuel avec x vCPU, y mémoires, z capacité de stockage, x% de disponibilité, liaisons par réseau, niveau de sécurité: standard.</t>
  </si>
  <si>
    <t>Décrivez une prestation PaaS pour un à trois clients suisses importants (y.c. numéro de client et contrat)</t>
  </si>
  <si>
    <t>Décrivez une prestation PaaS pour un à trois clients étrangers importants (y.c. numéro de client et contrat)</t>
  </si>
  <si>
    <t>Décrivez une prestation typique SaaS</t>
  </si>
  <si>
    <t>Décrivez une prestation SaaS pour un à trois clients suisses importants (y.c. numéro de client et contrat)</t>
  </si>
  <si>
    <t>Décrivez une prestation SaaS pour un à trois clients étrangers importants (y.c. numéro de client et contrat)</t>
  </si>
  <si>
    <t>Définition</t>
  </si>
  <si>
    <t>Définitions</t>
  </si>
  <si>
    <t>Remarque</t>
  </si>
  <si>
    <t>RETOUR</t>
  </si>
  <si>
    <t>SUITE</t>
  </si>
  <si>
    <t>DEBUT DE L'ENQUETE SUR LES PRIX</t>
  </si>
  <si>
    <t>Indiquez votre chiffre d'affaires</t>
  </si>
  <si>
    <t>Vérifiez les quotas horaires</t>
  </si>
  <si>
    <t>Donnez au moins un niveau de qualification</t>
  </si>
  <si>
    <t>Choisissez la méthode de fixation du prix le plus souvent appliquée</t>
  </si>
  <si>
    <t>Décrivez les principaux logiciels pour votre entreprise</t>
  </si>
  <si>
    <t>Indiquez la monnaie</t>
  </si>
  <si>
    <t>Définissez l'un de vos logiciels principaux</t>
  </si>
  <si>
    <t>Décrivez un mandat type d'installation</t>
  </si>
  <si>
    <t>Indiquez l'unité de l'échelle</t>
  </si>
  <si>
    <t>Décrivez les principales prestations pour les clients suisses</t>
  </si>
  <si>
    <t>Décrivez les principales prestations pour les clients étrangers</t>
  </si>
  <si>
    <t>Décrivez les prestations IaaS pour des clients suisses</t>
  </si>
  <si>
    <t>Décrivez les prestations IaaS pour des clients étrangers</t>
  </si>
  <si>
    <t>Décrivez les prestations PaaS pour des clients suisses</t>
  </si>
  <si>
    <t>Décrivez les prestations PaaS pour des clients étrangers</t>
  </si>
  <si>
    <t>Décrivez les prestations SaaS pour des clients suisses</t>
  </si>
  <si>
    <t>Décrivez les prestations SaaS pour des clients étrangers</t>
  </si>
  <si>
    <t>Vous avez maintenant la possibilité de faire des remarques et commentaires sur cette enquête:</t>
  </si>
  <si>
    <t>Vous avez atteint la fin de l'enquête.</t>
  </si>
  <si>
    <t>Nous vous remercions vivement de votre participation.</t>
  </si>
  <si>
    <t>Choisissez votre langue / Wählen Sie Ihre Sprache</t>
  </si>
  <si>
    <t>Français</t>
  </si>
  <si>
    <t>Deutsch</t>
  </si>
  <si>
    <t>Marquez par "X" / Mit "X" auswählen</t>
  </si>
  <si>
    <t>% attribués sur 100%</t>
  </si>
  <si>
    <t>Der Dienstleistungstyp "Software as a Service (SaaS)" erlaubt dem Kunden die Benützung von Softwarediensten auf einer fremden Infrastruktur, z.B. CRM (Customer Relationshiop Management) oder ERP (Enterprise Ressource Planning).</t>
  </si>
  <si>
    <t>Les prix doivent être donnés sans TVA.</t>
  </si>
  <si>
    <t>Comment peut être réparti le chiffre d'affaires avec des</t>
  </si>
  <si>
    <t>Falls ja, tragen Sie bitte den Preis ein, den Sie für eine Lizenz der aktuellen Software im Vorjahr verlangt hätten.</t>
  </si>
  <si>
    <t>remark_0</t>
  </si>
  <si>
    <t>remark_01</t>
  </si>
  <si>
    <t>Bitte geben Sie den Preis bei Vertragsabschluss an.</t>
  </si>
  <si>
    <t>Si oui, indiquez le prix que vous auriez demandé pour une licence du logiciel actuel lors de l'année précédente.</t>
  </si>
  <si>
    <t>Beschreiben Sie eine bis drei Dienstleistungen an einen zentralen Schweizer Geschäftskunden (inkl. Kundenauftragsidentifikator, z.B. Auftragsnummer)</t>
  </si>
  <si>
    <t>Beschreiben Sie eine bis drei Dienstleistungen an einen zentralen ausländischen Geschäftskunden (inkl. Kundenauftragsidentifikator, z.B. Auftragsnummer)</t>
  </si>
  <si>
    <t>Beschreiben Sie eine IaaS-Leistung für einen bis drei zentrale(n) Schweizer Geschäftskunden (inkl. Kundenauftragsidentifikator, z.B. Auftragsnummer)</t>
  </si>
  <si>
    <t>Beschreiben Sie eine IaaS-Leistung für einen bis drei zentrale ausländische(n) Geschäftskunden (inkl. Kundenauftragsidentifikator, z.B. Auftragsnummer)</t>
  </si>
  <si>
    <t>Beschreiben Sie eine PaaS-Leistung für einen bis drei zentrale(n) Schweizer Geschäftskunden (inkl. Kundenauftragsidentifikator, z.B. Auftragsnummer)</t>
  </si>
  <si>
    <t>Beschreiben Sie eine PaaS-Leistung für einen bis drei zentrale ausländische(n) Geschäftskunden (inkl. Kundenauftragsidentifikator, z.B. Auftragsnummer)</t>
  </si>
  <si>
    <t>Beschreiben Sie eine SaaS-Leistung für einen bis drei zentrale(n) Schweizer Geschäftskunden (inkl. Kundenauftragsidentifikator, z.B. Auftragsnummer)</t>
  </si>
  <si>
    <t>Beschreiben Sie eine SaaS-Leistung für einen bis drei zentrale ausländische(n) Geschäftskunden (inkl. Kundenauftragsidentifikator, z.B. Auftragsnummer)</t>
  </si>
  <si>
    <t>Blatt</t>
  </si>
  <si>
    <t>Bezeichnung</t>
  </si>
  <si>
    <t>Mit diesem Erhebungsinstrument erfasst das Bundesamt für Statistik Preise von IT-Dienstleistungen zwecks Messung der Entwicklung der Produzentenpreise. Das BFS erstellt mit den erhobenen Daten Preisindizes für IT-Dienstleistungen. Bitte lesen Sie die nachfolgenden Erläuterungen aufmerksam durch. So wird Ihnen das Ausfüllen des Erhebungsbogen deutlich erleichtert.</t>
  </si>
  <si>
    <t>Für Fragen, Anmerkungen und Auskünfte inhaltlicher Art steht Ihnen gerne zur Verfügung:</t>
  </si>
  <si>
    <t>intro_14</t>
  </si>
  <si>
    <t>intro_15</t>
  </si>
  <si>
    <t>intro_16</t>
  </si>
  <si>
    <t>Administrative und organisatorische Auskünfte erteilt:</t>
  </si>
  <si>
    <t>Bitte beschreiben Sie eine bis drei für ihr Unternehmen zentrale Softwarelösungen, die Sie auf Kundenwunsch erstellt haben (inkl. Kundenauftragsidentifikator, z.B. Auftragsnummer)</t>
  </si>
  <si>
    <t>synopsis</t>
  </si>
  <si>
    <r>
      <t xml:space="preserve">1
</t>
    </r>
    <r>
      <rPr>
        <sz val="12"/>
        <color theme="1"/>
        <rFont val="Arial"/>
        <family val="2"/>
      </rPr>
      <t>Umsatz (Rang = 1 bzw. Rang &lt;= 2 und Umsatz &gt;= 2 Mio)</t>
    </r>
  </si>
  <si>
    <r>
      <t xml:space="preserve">2
</t>
    </r>
    <r>
      <rPr>
        <sz val="12"/>
        <color theme="1"/>
        <rFont val="Arial"/>
        <family val="2"/>
      </rPr>
      <t>Umsatz (Rang = 1 bzw. Rang &lt;= 2 und Umsatz &gt;= 2 Mio)</t>
    </r>
  </si>
  <si>
    <r>
      <t xml:space="preserve">3
</t>
    </r>
    <r>
      <rPr>
        <sz val="12"/>
        <color theme="1"/>
        <rFont val="Arial"/>
        <family val="2"/>
      </rPr>
      <t>Umsatz (Rang = 1 bzw. Rang &lt;= 2 und Umsatz &gt;= 2 Mio)</t>
    </r>
  </si>
  <si>
    <r>
      <t xml:space="preserve">4
</t>
    </r>
    <r>
      <rPr>
        <sz val="12"/>
        <color theme="1"/>
        <rFont val="Arial"/>
        <family val="2"/>
      </rPr>
      <t>Umsatz (Rang = 1 bzw. Rang &lt;= 2 und Umsatz &gt;= 2 Mio)</t>
    </r>
  </si>
  <si>
    <t>Die ausgewiesenen Preise sollen den durchschnittlichen (über alle Kunden) effektiv verrechneten Stundenansätzen entsprechen (Rabatte sind separat auszuweisen).</t>
  </si>
  <si>
    <t>Rabatt</t>
  </si>
  <si>
    <t>discount</t>
  </si>
  <si>
    <t>check_rabatt</t>
  </si>
  <si>
    <t>Bitte geben Sie auch die Rabatte an, ggf. auch jeweils 0%</t>
  </si>
  <si>
    <t>11hCH</t>
  </si>
  <si>
    <t>11hEX</t>
  </si>
  <si>
    <t>#</t>
  </si>
  <si>
    <t>Kursteilnehmer 2014</t>
  </si>
  <si>
    <t>Kursteilnehmer 2013</t>
  </si>
  <si>
    <t>31hCH</t>
  </si>
  <si>
    <t>31hEX</t>
  </si>
  <si>
    <t>21hCH</t>
  </si>
  <si>
    <t>21hEX</t>
  </si>
  <si>
    <t>22hCH</t>
  </si>
  <si>
    <t>22hEX</t>
  </si>
  <si>
    <t>23hCH</t>
  </si>
  <si>
    <t>CH</t>
  </si>
  <si>
    <t>EX</t>
  </si>
  <si>
    <t>23hEX</t>
  </si>
  <si>
    <t>32hCH</t>
  </si>
  <si>
    <t>32hEX</t>
  </si>
  <si>
    <r>
      <t>11h</t>
    </r>
    <r>
      <rPr>
        <sz val="12"/>
        <color theme="1"/>
        <rFont val="Arial"/>
        <family val="2"/>
      </rPr>
      <t>CH</t>
    </r>
  </si>
  <si>
    <r>
      <t>11</t>
    </r>
    <r>
      <rPr>
        <sz val="12"/>
        <color theme="1"/>
        <rFont val="Arial"/>
        <family val="2"/>
      </rPr>
      <t>h</t>
    </r>
    <r>
      <rPr>
        <sz val="12"/>
        <color theme="1"/>
        <rFont val="Arial"/>
        <family val="2"/>
      </rPr>
      <t>EX</t>
    </r>
  </si>
  <si>
    <r>
      <t>22h</t>
    </r>
    <r>
      <rPr>
        <sz val="12"/>
        <color theme="1"/>
        <rFont val="Arial"/>
        <family val="2"/>
      </rPr>
      <t>CH</t>
    </r>
  </si>
  <si>
    <r>
      <t>23h</t>
    </r>
    <r>
      <rPr>
        <sz val="12"/>
        <color theme="1"/>
        <rFont val="Arial"/>
        <family val="2"/>
      </rPr>
      <t>CH</t>
    </r>
  </si>
  <si>
    <r>
      <t>21h</t>
    </r>
    <r>
      <rPr>
        <sz val="12"/>
        <color theme="1"/>
        <rFont val="Arial"/>
        <family val="2"/>
      </rPr>
      <t>CH</t>
    </r>
  </si>
  <si>
    <r>
      <t>31h</t>
    </r>
    <r>
      <rPr>
        <sz val="12"/>
        <color theme="1"/>
        <rFont val="Arial"/>
        <family val="2"/>
      </rPr>
      <t>CH</t>
    </r>
  </si>
  <si>
    <r>
      <t>32h</t>
    </r>
    <r>
      <rPr>
        <sz val="12"/>
        <color theme="1"/>
        <rFont val="Arial"/>
        <family val="2"/>
      </rPr>
      <t>CH</t>
    </r>
  </si>
  <si>
    <t>Umsatz</t>
  </si>
  <si>
    <t>Steuerung</t>
  </si>
  <si>
    <t>na</t>
  </si>
  <si>
    <t>Keine Angabe benötigt</t>
  </si>
  <si>
    <t>optional</t>
  </si>
  <si>
    <t>Optional</t>
  </si>
  <si>
    <t>Optionnel</t>
  </si>
  <si>
    <t>Le type de prestation "Platform as a Service (PaaS)" permet l'exploitation de ses propres PaaS sur des plates-formes différentes comme, par ex., l'hébergement web avec panneaux de contrôle ou solutions avec bases de données.</t>
  </si>
  <si>
    <t>L'office fédéral de la statistique (OFS) collecte, par le biais de cette enquête, les prix des prestations IT afin de mesurer l'évolution des prix à la production. L'OFS élabore l'indice des prix des prestations IT à l'aide des données saisies. Nous vous prions de lire attativement les explications suivantes. Le remplissage des champs vous sera ainsi nettement facilité.</t>
  </si>
  <si>
    <t>Les informations organisationnelles et administratives sont fournies par:</t>
  </si>
  <si>
    <t>Rabais</t>
  </si>
  <si>
    <t>L'indentificateur du client (no. du mandat, no. du client, etc.) sert exclusivement à l'identification du mandat de l'année suivante. Vous pouvez, pour des raisons de sécurité, rendre ce numéro anonyme.</t>
  </si>
  <si>
    <t>Indiquez le prix lors de la conclusion du mandat.</t>
  </si>
  <si>
    <t>Décrivez un à trois logiciels importants pour votre entreprise que vous avez élaborés selon voeux du client (y.c. no. d'identificateur du mandat du client, par ex. no. du mandat)</t>
  </si>
  <si>
    <t>Les prix indiqués doivent correspondre à la moyenne (de tous les clients) effective des coûts horaire facturés (les rabais doivent être indiqués séparément).</t>
  </si>
  <si>
    <t>Indiquez aussi les rabais, le cas échéant, chacun en %</t>
  </si>
  <si>
    <t>Pas de donnée nécessaire</t>
  </si>
  <si>
    <t>Sauvegardez votre fichier et transmettez celui-ci à:</t>
  </si>
  <si>
    <t>Bitte speichern Sie die Datei</t>
  </si>
  <si>
    <t>Sauvegardez votre fichier</t>
  </si>
  <si>
    <t>Firmenname</t>
  </si>
  <si>
    <t>Strasse</t>
  </si>
  <si>
    <t>PLZ</t>
  </si>
  <si>
    <t>Ort</t>
  </si>
  <si>
    <t>Hausnummer</t>
  </si>
  <si>
    <t>Ansprechperson</t>
  </si>
  <si>
    <t>Angaben zur Firma</t>
  </si>
  <si>
    <t>Vorname</t>
  </si>
  <si>
    <t>Telefon</t>
  </si>
  <si>
    <t>Email</t>
  </si>
  <si>
    <t>phone</t>
  </si>
  <si>
    <t>street 2</t>
  </si>
  <si>
    <t>street 1</t>
  </si>
  <si>
    <t>zip</t>
  </si>
  <si>
    <t>Numéro</t>
  </si>
  <si>
    <t>Lieu</t>
  </si>
  <si>
    <t>NPA</t>
  </si>
  <si>
    <t>Firme</t>
  </si>
  <si>
    <t>contact</t>
  </si>
  <si>
    <t>Prénom</t>
  </si>
  <si>
    <t>Nom</t>
  </si>
  <si>
    <t>Name</t>
  </si>
  <si>
    <t>Téléphone</t>
  </si>
  <si>
    <t>firm_details</t>
  </si>
  <si>
    <t>Rue</t>
  </si>
  <si>
    <t>Données concernant l'entreprise</t>
  </si>
  <si>
    <t>check_firm</t>
  </si>
  <si>
    <t>E-Mail</t>
  </si>
  <si>
    <t>z.B. Junior (Erste IT-Kenntnisse)</t>
  </si>
  <si>
    <t>z.B. Professional (3 oder mehr Jahre Berufserfahrung)</t>
  </si>
  <si>
    <t>z.B. Senior (5 oder mehr Jahre Berufserfahrung)</t>
  </si>
  <si>
    <t>p. ex. Junior (premières connaissances IT)</t>
  </si>
  <si>
    <t>p. ex. Professionnel (3 ans ou plus d'expérience professionnelle)</t>
  </si>
  <si>
    <t>p. ex. Senior (5 ans ou plus d'expérience professionnelle)</t>
  </si>
  <si>
    <t>Umsatzanteil am Geschäftsfeld</t>
  </si>
  <si>
    <t>Part du chiffre d'affaires dans le domaine</t>
  </si>
  <si>
    <t>Exportanteil im Dienstleistungstyp</t>
  </si>
  <si>
    <t>Part de l'exportation dans le type de prestation</t>
  </si>
  <si>
    <t>Umsatzanteil</t>
  </si>
  <si>
    <t>Part du chiffre d'affaires</t>
  </si>
  <si>
    <t>Exemple: sauvegarde sur demande (x GB en moyenne, utilisation effective par mois), y% de disponibilité, redondance d'x fois, niveau du service: standard, niveau de sécurité: standard, sans setup chez le client.</t>
  </si>
  <si>
    <t>Beispiel: Storage on Demand (x GB durchschnittliche, effektive Nutzung pro Monat), y% Verfügbarkeit, x-fache Redundanz, Service Level: Standard, Sicherheitslevel: Standard, ohne Setup beim Kunden.</t>
  </si>
  <si>
    <t>Beispiel: Virtueller Server mit x vCPU, y Memory, z Speicherplatz, x% Verfügbarkeit, Netzwerkeinbindung, Sicherheitslevel: Standard.</t>
  </si>
  <si>
    <t>Beispiel: Datenbanklösungen für Kunde x.</t>
  </si>
  <si>
    <t>Beispiel: Web-Hosting mit Control Panels für Kunde y.</t>
  </si>
  <si>
    <t>Exemple: solutions bases de données pour le client x.</t>
  </si>
  <si>
    <t>Exemple: hébergement web avec panneau de contrôle pour le client y.</t>
  </si>
  <si>
    <t>Unit-Nettopreis: (Pauschale + Unit-Preis * effektiv bezogene Leistung - allfällige Rabatte) / effektiv bezogene Leistung.</t>
  </si>
  <si>
    <t>Beispiel: Customer Relationship Management (CRM)-Lösung für Kunde x.</t>
  </si>
  <si>
    <t>Beispiel: Enterprise Ressource Planning (ERP)-Lösung für Kunde y.</t>
  </si>
  <si>
    <t>Exemple: solution Customer Relationship Management (CRM) pour le client x.</t>
  </si>
  <si>
    <t>Exemple: solution Enterprise Ressource Planning (ERP) pour le client y.</t>
  </si>
  <si>
    <t>Am Ende der Umfrage werden Sie aufgefordert die Datei zu speichern und es wird Ihnen nochmals die Kontaktadresse angezeigt, an die Sie die ausgefüllte Excel-Datei schicken müssen. Bitte melden Sie sich zuvor per E-Mail, falls Sie eine gesicherte Übertragung des Dokuments wünschen.</t>
  </si>
  <si>
    <t xml:space="preserve">Falls Rückfragen unsererseits bestehen werden wir Sie in den nächsten Wochen nochmals kontaktieren. Die nächste Preiserhebung findet dann in einem Jahr statt. In der Preiserhebung im nächsten Jahr werden die von Ihnen gemachten Angaben aus diesem Jahr sichtbar sein. </t>
  </si>
  <si>
    <t>A la fin de l'enquête, vous êtes prié d'enregistrer le document. L'adresse de contact à laquelle vous devez envoyer le document Excel vous sera à nouveau indiquée. Veuillez vous annoncez au préalable par messagerie si vous désirez une transmission sécurisée de votre document.</t>
  </si>
  <si>
    <t>Sie werden durch dieses Excel-File geführt, indem nur die für Sie relevanten Excel-Blätter aufgerufen werden. Bitte tätigen Sie Ihre Angaben in den graugrün hinterlegten Feldern. Die blauen Felder dienen als Hilfestellung, hier werden Erläuterungen und Beispiele zum Ausfüllen gegeben. Hinweise zu noch fehlenden Angaben erscheinen oben rechts im Erhebungsbogen in roter Schrift direkt unter dem Kästchen, das den Erfassungsfortschritt anzeigt.</t>
  </si>
  <si>
    <t>Bitte im graugrünen Feld unten kurz beschreiben</t>
  </si>
  <si>
    <t>Décrivez brièvement dans le champ gris-vert ci-dessous</t>
  </si>
  <si>
    <t>uid</t>
  </si>
  <si>
    <t>und / oder</t>
  </si>
  <si>
    <t>&amp; /</t>
  </si>
  <si>
    <t>et / ou bien</t>
  </si>
  <si>
    <t>Bitte geben Sie die Umsatzanteile richtig und vollständig an</t>
  </si>
  <si>
    <t>Indiquez totalement et correctement les parts de chiffres d'affaires</t>
  </si>
  <si>
    <t>Beschreiben Sie eine typische PaaS-Leistung</t>
  </si>
  <si>
    <t>Décrivez une prestation typique PaaS</t>
  </si>
  <si>
    <t>Unternehmens-Identifikationsnummer (UID)</t>
  </si>
  <si>
    <t>Numéro d’identification des entreprises (IDE)</t>
  </si>
  <si>
    <t>aktuelles Jahr:</t>
  </si>
  <si>
    <t>Indice des prix à la production</t>
  </si>
  <si>
    <t>En cas de questions supplémentaires (à notre égard), nous nous tenons à votre entière disposition dans les semaines à venir. Le prochain relevé des prix aura lieu l'année prochaine. Dans le document concernant la hausse des prix l'année prochaine, vos indications de cette année seront visibles.</t>
  </si>
  <si>
    <t>Personne de contact</t>
  </si>
  <si>
    <t>Si vous offrez des ensembles de prestations (par ex. prestations en conseils y compris des activités de programmation), veuillez répartir ces activités au prorata du chiffre d'affaires dans les domaines commerciaux concernés.</t>
  </si>
  <si>
    <t>Les prestations sont considérées comme exportées lorsque l'adresse du destinataire de la prestation est située à l'étranger.</t>
  </si>
  <si>
    <t>Prix net unitaire: (forfait + prix unitaire * prestation(s) effectivement fournie(s) - éventuel(s) rabais) / prestation(s) effectivement fournie(s).</t>
  </si>
  <si>
    <t>A quel prix offrez-vous le mandat typique d'installation que vous avez décrit?</t>
  </si>
  <si>
    <t>A quel prix net unitaire offrez-vous la prestation que vous avez décrite ci-dessous?</t>
  </si>
  <si>
    <t>Vous serez accompagnés tout au long du questionnaire, dans le sens que vous ne serez amenés à remplir que les feuilles Excel nécessaires. Vos données sont à introduire dans les champs gris-vert. Les champs en bleu vous donnent des explications et exemples pour le remplissage. Les remarques sur des données manquantes apparaissent en haut à droite en couleur rouge directement sous la case qui vous informe sur l'état d'avancement des saisies.</t>
  </si>
  <si>
    <t>Bitte speichern Sie die Datei und senden Sie diese an:</t>
  </si>
  <si>
    <t>Bitte beschreiben Sie die für Ihr Unternehmen zentrale Software</t>
  </si>
  <si>
    <t>Wie offerieren Sie normalerweise Ihre Dienstleistungen?</t>
  </si>
  <si>
    <t>Der Kundenidentifikator (Auftragsnummer, Kundennummer etc.) dient Ihnen ausschliesslich zur Identifizierung des Auftrags im Folgejahr. Sie können aus Sicherheitsgründen diese Nummer anonymisieren.</t>
  </si>
  <si>
    <t>Skalierbar</t>
  </si>
  <si>
    <t>Der Dienstleistungstyp "Platform as a Service (PaaS)" erlaubt den Betrieb von eigener Software auf einer fremden Plattform wie z.B. das Web-Hosting mit Control Panels oder Datenbanklösungen.</t>
  </si>
  <si>
    <t>Der Dienstleistungstyp "Infrastrcture as a Service (IaaS)" umfasst die Bereitstellung von Serverleistung, Rechenkapazität, Speicherkapazität, Netzwerkdiensten etc., sowohl physisch wie auch virtuell separiert (z.B. ein Rack in einem RZ).</t>
  </si>
  <si>
    <t>Das Geschäftfeld "Beratungdienstleistungen" umfasst die Planung und den Entwurf von Computersysteme und differenziert zwischen den Dienstleistungstypen "Beratung zu Hard- und Softwarebeschaffung", "Expertise zur Systemintegration" und "Schulung &amp; Training".</t>
  </si>
  <si>
    <t>PMS-Nr.</t>
  </si>
  <si>
    <t>Spaltennr. Bezeichnung in Matrix (beginnt mit Spalte IDPMS+POS+L)</t>
  </si>
  <si>
    <t>Spaltennr. Preis T-1 in Matrix (beginnt mit Spalte IDPMS+POS+L)</t>
  </si>
  <si>
    <t>Spaltennr. Rabatt T-1 in Matrix (beginnt mit Spalte IDPMS+POS+L)</t>
  </si>
  <si>
    <t>Spaltennr. Menge T-1 in Matrix (beginnt mit Spalte IDPMS+POS+L)</t>
  </si>
  <si>
    <t>Spaltennr. Währung T-1 in Matrix (beginnt mit Spalte IDPMS+POS+L)</t>
  </si>
  <si>
    <t>Mirko Huber, Bundesamt für Statistik BFS, Neuenburg</t>
  </si>
  <si>
    <t>Mirko Huber, OFS, Neuchâtel</t>
  </si>
  <si>
    <t>E-Mail:    mirko.huber@bfs.admin.ch</t>
  </si>
  <si>
    <t>email:    mirko.huber@bfs.admin.ch</t>
  </si>
  <si>
    <t>Téléphone:  +41 58 463 67 95</t>
  </si>
  <si>
    <t>Telefon:  +41 58 463 67 95</t>
  </si>
  <si>
    <t>Sobald auf einem Excel-Blatt die minimal notwendigen Angaben vorliegen, erscheint am unteren Rand ein gelb hinterlegtes Feld "WEITER". Sie können noch weitere Angaben tätigen oder auf dieses Feld klicken, um diese Seite abzuschliessen und zum nächsten relevanten Excel-Blatt zu gelangen. Bitte nutzen Sie zum Abschliessen eines Bogens immer dieses "WEITER"-Feld. Achten Sie dabei auch darauf, dass Sie genau dieses Feld anklicken. Durch dieses Vorgehen wird Ihr Erhebungsaufwand auf ein Minimum reduziert, weil Sie automatisch auf die für Ihre Unternehmung wichtigen Excel-Blätter geleitet werden. Über das Feld "ZURÜCK" können Sie nach Bedarf zur vorgelagerten Seite zurückkehren, um bisherige Eingaben zu kontrollieren bzw. zu korrigieren. Hinweis: mit der Tastenkombination Ctrl-PageDown können Sie nötigenfalls manuell zum nächsten Blatt wechseln (ab Excel 2007).</t>
  </si>
  <si>
    <t>Dès que, dans une feuille Excel, figurent les indications minimales nécessaires, apparaît dans le bord inférieur un champ jaune marqué "SUITE". Vous pouvez encore saisir des données supplémentaires ou cliquer sur ce champ afin de clore la feuille courante et d'atteindre la suivante. Veuillez toujours utiliser ce champ "SUITE" pour terminer une feuille Excel. Veillez à cliquer précisément sur ce champ. De cette manière, votre temps de saisie est réduit au minimum, car vous êtes automatiquement amené dans les feuilles Excel importantes pour votre entreprise. Avec le champ "RETOUR" vous pouvez revenir, selon besoins, sur les pages saisies précédemment afin de contrôler ou modifier les données déjà entrées. Indication: Vous pouvez avancer manuellement au prochain onglet avec Ctrl+PageDown (à partir d'Excel 2007).</t>
  </si>
  <si>
    <t>Bitte füllen Sie alle Felder aus (ausser PMS Nr.)</t>
  </si>
  <si>
    <t>S'il vous plaît remplir tous les champs (sauf PMS-Nr.)</t>
  </si>
  <si>
    <t>E-Mail:    ppiprod@bfs.admin.ch</t>
  </si>
  <si>
    <t>email: ppiprod@bfs.admin.ch</t>
  </si>
  <si>
    <t>Indiquez aussi les quotas d'exportation, même s’ils sont de 0%</t>
  </si>
  <si>
    <t>Comment</t>
  </si>
  <si>
    <t>Falls das Formular an dieser Stelle blockiert ist (möglich z.B. bei Excel 2007), können Sie mit der Tastenkombination Ctrl+PageDown zum nächsten Tabellenblatt wechseln.</t>
  </si>
  <si>
    <t>Si le formulaire est bloqué à cet endroit (p.ex. avec Excel 2007), vous pouvez avancer au prochain onglet avec la combinaison de touches Ctrl+PageDown.</t>
  </si>
  <si>
    <r>
      <t>Bitte senden Sie dieses Dokument bis spätestens am</t>
    </r>
    <r>
      <rPr>
        <b/>
        <sz val="10"/>
        <color theme="1"/>
        <rFont val="Arial"/>
        <family val="2"/>
      </rPr>
      <t xml:space="preserve"> 13. Mai 2022</t>
    </r>
    <r>
      <rPr>
        <sz val="10"/>
        <color theme="1"/>
        <rFont val="Arial"/>
        <family val="2"/>
      </rPr>
      <t xml:space="preserve"> an:</t>
    </r>
  </si>
  <si>
    <r>
      <t>Renvoyez ce document jusqu'au 13</t>
    </r>
    <r>
      <rPr>
        <b/>
        <sz val="10"/>
        <color theme="1"/>
        <rFont val="Arial"/>
        <family val="2"/>
      </rPr>
      <t xml:space="preserve"> mai 2022</t>
    </r>
    <r>
      <rPr>
        <sz val="10"/>
        <color theme="1"/>
        <rFont val="Arial"/>
        <family val="2"/>
      </rPr>
      <t xml:space="preserve"> au plus tard à:</t>
    </r>
  </si>
  <si>
    <t>Alexia Messerli, Bundesamt für Statistik BFS, Neuenburg</t>
  </si>
  <si>
    <t>Alexia Messerli, OFS, Neuchâtel</t>
  </si>
  <si>
    <t>Telefon:  +41 58 467 89 84</t>
  </si>
  <si>
    <t>Téléphone:  +41 58 467 89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</si>
</sst>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CHF&quot;\ #,##0.00;&quot;CHF&quot;\ \-#,##0.00"/>
    <numFmt numFmtId="164" formatCode="_(&quot;Fr.&quot;* #,##0.00_);_(&quot;Fr.&quot;* \(#,##0.00\);_(&quot;Fr.&quot;* &quot;-&quot;??_);_(@_)"/>
    <numFmt numFmtId="165" formatCode="&quot;CHF&quot;\ #,##0"/>
    <numFmt numFmtId="166" formatCode="#,##0.00_ ;\-#,##0.00\ "/>
    <numFmt numFmtId="167" formatCode="0.0000"/>
    <numFmt numFmtId="168" formatCode="&quot;CHE&quot;\-###&quot;.&quot;###&quot;.&quot;###"/>
  </numFmts>
  <fonts count="38">
    <font>
      <sz val="12"/>
      <color theme="1"/>
      <name val="Helvetica Neue Light"/>
      <family val="2"/>
    </font>
    <font>
      <sz val="12"/>
      <color theme="1"/>
      <name val="Arial"/>
      <family val="2"/>
    </font>
    <font>
      <sz val="12"/>
      <color theme="1"/>
      <name val="Arial"/>
      <family val="2"/>
    </font>
    <font>
      <u/>
      <sz val="12"/>
      <color theme="10"/>
      <name val="Helvetica Neue Light"/>
      <family val="2"/>
    </font>
    <font>
      <u/>
      <sz val="12"/>
      <color theme="11"/>
      <name val="Helvetica Neue Light"/>
      <family val="2"/>
    </font>
    <font>
      <sz val="10.5"/>
      <color theme="1"/>
      <name val="Arial"/>
      <family val="2"/>
    </font>
    <font>
      <b/>
      <sz val="10.5"/>
      <color theme="1"/>
      <name val="Arial"/>
      <family val="2"/>
    </font>
    <font>
      <sz val="11"/>
      <color theme="1"/>
      <name val="Arial"/>
      <family val="2"/>
    </font>
    <font>
      <b/>
      <sz val="11"/>
      <color theme="1"/>
      <name val="Arial"/>
      <family val="2"/>
    </font>
    <font>
      <sz val="12"/>
      <color theme="1"/>
      <name val="Helvetica Neue Light"/>
      <family val="2"/>
    </font>
    <font>
      <b/>
      <sz val="12"/>
      <color rgb="FF000000"/>
      <name val="Arial"/>
      <family val="2"/>
    </font>
    <font>
      <b/>
      <sz val="12"/>
      <color theme="1"/>
      <name val="Arial"/>
      <family val="2"/>
    </font>
    <font>
      <sz val="12"/>
      <color theme="1"/>
      <name val="Arial"/>
      <family val="2"/>
    </font>
    <font>
      <sz val="10"/>
      <color theme="1"/>
      <name val="Helvetica Neue Light"/>
      <family val="2"/>
    </font>
    <font>
      <b/>
      <sz val="12"/>
      <color indexed="8"/>
      <name val="Arial"/>
      <family val="2"/>
    </font>
    <font>
      <sz val="10"/>
      <color theme="1"/>
      <name val="Arial"/>
      <family val="2"/>
    </font>
    <font>
      <b/>
      <sz val="10"/>
      <color theme="1"/>
      <name val="Arial"/>
      <family val="2"/>
    </font>
    <font>
      <sz val="10"/>
      <color indexed="8"/>
      <name val="Arial"/>
      <family val="2"/>
    </font>
    <font>
      <sz val="10"/>
      <color rgb="FF000000"/>
      <name val="Arial"/>
      <family val="2"/>
    </font>
    <font>
      <sz val="10"/>
      <name val="Arial"/>
      <family val="2"/>
    </font>
    <font>
      <b/>
      <sz val="10"/>
      <name val="Arial"/>
      <family val="2"/>
    </font>
    <font>
      <b/>
      <sz val="10"/>
      <color rgb="FFFF0000"/>
      <name val="Arial"/>
      <family val="2"/>
    </font>
    <font>
      <sz val="10"/>
      <color rgb="FF123A2A"/>
      <name val="Arial"/>
      <family val="2"/>
    </font>
    <font>
      <u/>
      <sz val="10"/>
      <color theme="10"/>
      <name val="Arial"/>
      <family val="2"/>
    </font>
    <font>
      <sz val="10"/>
      <color rgb="FFFF0000"/>
      <name val="Arial"/>
      <family val="2"/>
    </font>
    <font>
      <b/>
      <sz val="10"/>
      <color rgb="FF000000"/>
      <name val="Arial"/>
      <family val="2"/>
    </font>
    <font>
      <b/>
      <sz val="10"/>
      <color rgb="FF123A2A"/>
      <name val="Arial"/>
      <family val="2"/>
    </font>
    <font>
      <sz val="10"/>
      <color theme="0"/>
      <name val="Arial"/>
      <family val="2"/>
    </font>
    <font>
      <b/>
      <sz val="10"/>
      <color indexed="8"/>
      <name val="Arial"/>
      <family val="2"/>
    </font>
    <font>
      <u/>
      <sz val="10"/>
      <color theme="10"/>
      <name val="Helvetica Neue Light"/>
      <family val="2"/>
    </font>
    <font>
      <sz val="10"/>
      <color theme="1"/>
      <name val="Arial"/>
      <family val="2"/>
      <scheme val="minor"/>
    </font>
    <font>
      <u/>
      <sz val="10"/>
      <color theme="10"/>
      <name val="Arial"/>
      <family val="2"/>
      <scheme val="minor"/>
    </font>
    <font>
      <b/>
      <sz val="10"/>
      <color indexed="9"/>
      <name val="Arial"/>
      <family val="2"/>
    </font>
    <font>
      <sz val="10"/>
      <color theme="0" tint="-0.499984740745262"/>
      <name val="Arial"/>
      <family val="2"/>
    </font>
    <font>
      <sz val="10"/>
      <color theme="6" tint="-0.249977111117893"/>
      <name val="Arial"/>
      <family val="2"/>
    </font>
    <font>
      <sz val="10"/>
      <color rgb="FF0070C0"/>
      <name val="Arial"/>
      <family val="2"/>
    </font>
    <font>
      <sz val="8"/>
      <name val="Helvetica Neue Light"/>
      <family val="2"/>
    </font>
    <font>
      <sz val="10"/>
      <color rgb="FF0000FF"/>
      <name val="Arial"/>
      <family val="2"/>
    </font>
  </fonts>
  <fills count="2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0"/>
        <bgColor indexed="64"/>
      </patternFill>
    </fill>
    <fill>
      <patternFill patternType="solid">
        <fgColor theme="6" tint="0.79998168889431442"/>
        <bgColor rgb="FF000000"/>
      </patternFill>
    </fill>
    <fill>
      <patternFill patternType="solid">
        <fgColor theme="0"/>
        <bgColor rgb="FF000000"/>
      </patternFill>
    </fill>
    <fill>
      <patternFill patternType="solid">
        <fgColor theme="0" tint="-0.499984740745262"/>
        <bgColor indexed="64"/>
      </patternFill>
    </fill>
    <fill>
      <patternFill patternType="solid">
        <fgColor indexed="23"/>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C5D9F1"/>
        <bgColor rgb="FF000000"/>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145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376">
    <xf numFmtId="0" fontId="0" fillId="0" borderId="0" xfId="0"/>
    <xf numFmtId="0" fontId="11" fillId="0" borderId="0" xfId="0" applyFont="1"/>
    <xf numFmtId="0" fontId="12" fillId="0" borderId="0" xfId="0" applyFont="1"/>
    <xf numFmtId="0" fontId="11" fillId="0" borderId="0" xfId="0" applyFont="1" applyAlignment="1">
      <alignment wrapText="1"/>
    </xf>
    <xf numFmtId="0" fontId="12" fillId="0" borderId="0" xfId="0" applyFont="1" applyAlignment="1">
      <alignment wrapText="1"/>
    </xf>
    <xf numFmtId="0" fontId="11" fillId="6" borderId="0" xfId="0" applyFont="1" applyFill="1" applyAlignment="1">
      <alignment wrapText="1"/>
    </xf>
    <xf numFmtId="0" fontId="11" fillId="15" borderId="0" xfId="0" applyFont="1" applyFill="1" applyAlignment="1">
      <alignment wrapText="1"/>
    </xf>
    <xf numFmtId="0" fontId="11" fillId="7" borderId="0" xfId="0" applyFont="1" applyFill="1" applyAlignment="1">
      <alignment wrapText="1"/>
    </xf>
    <xf numFmtId="0" fontId="11" fillId="8" borderId="0" xfId="0" applyFont="1" applyFill="1" applyAlignment="1">
      <alignment wrapText="1"/>
    </xf>
    <xf numFmtId="0" fontId="12" fillId="9" borderId="0" xfId="0" applyFont="1" applyFill="1" applyAlignment="1">
      <alignment wrapText="1"/>
    </xf>
    <xf numFmtId="0" fontId="12" fillId="2" borderId="0" xfId="0" applyFont="1" applyFill="1" applyAlignment="1">
      <alignment wrapText="1"/>
    </xf>
    <xf numFmtId="0" fontId="12" fillId="3" borderId="0" xfId="0" applyFont="1" applyFill="1" applyAlignment="1">
      <alignment wrapText="1"/>
    </xf>
    <xf numFmtId="0" fontId="12" fillId="12" borderId="0" xfId="0" applyFont="1" applyFill="1" applyAlignment="1">
      <alignment wrapText="1"/>
    </xf>
    <xf numFmtId="0" fontId="12" fillId="10" borderId="0" xfId="0" applyFont="1" applyFill="1"/>
    <xf numFmtId="0" fontId="12" fillId="14" borderId="0" xfId="0" applyFont="1" applyFill="1"/>
    <xf numFmtId="0" fontId="12" fillId="11" borderId="0" xfId="0" applyFont="1" applyFill="1"/>
    <xf numFmtId="0" fontId="12" fillId="13" borderId="0" xfId="0" applyFont="1" applyFill="1"/>
    <xf numFmtId="0" fontId="12" fillId="0" borderId="0" xfId="0" applyFont="1" applyFill="1"/>
    <xf numFmtId="0" fontId="12" fillId="0" borderId="0" xfId="0" applyFont="1" applyFill="1" applyAlignment="1">
      <alignment wrapText="1"/>
    </xf>
    <xf numFmtId="0" fontId="7" fillId="16" borderId="0" xfId="0" applyFont="1" applyFill="1"/>
    <xf numFmtId="0" fontId="7" fillId="16" borderId="0" xfId="0" applyFont="1" applyFill="1" applyAlignment="1">
      <alignment vertical="top" wrapText="1"/>
    </xf>
    <xf numFmtId="0" fontId="7" fillId="16" borderId="0" xfId="0" applyFont="1" applyFill="1" applyAlignment="1">
      <alignment horizontal="right"/>
    </xf>
    <xf numFmtId="0" fontId="8" fillId="16" borderId="0" xfId="0" applyFont="1" applyFill="1"/>
    <xf numFmtId="0" fontId="5" fillId="16" borderId="0" xfId="0" applyFont="1" applyFill="1"/>
    <xf numFmtId="0" fontId="6" fillId="16" borderId="0" xfId="0" applyFont="1" applyFill="1"/>
    <xf numFmtId="0" fontId="11" fillId="19" borderId="0" xfId="0" applyFont="1" applyFill="1"/>
    <xf numFmtId="0" fontId="10" fillId="0" borderId="0" xfId="0" applyFont="1"/>
    <xf numFmtId="9" fontId="12" fillId="0" borderId="0" xfId="73" applyFont="1"/>
    <xf numFmtId="9" fontId="12" fillId="0" borderId="0" xfId="0" applyNumberFormat="1" applyFont="1"/>
    <xf numFmtId="0" fontId="12" fillId="6" borderId="0" xfId="0" applyFont="1" applyFill="1" applyAlignment="1">
      <alignment wrapText="1"/>
    </xf>
    <xf numFmtId="9" fontId="12" fillId="6" borderId="0" xfId="73" applyFont="1" applyFill="1" applyAlignment="1">
      <alignment wrapText="1"/>
    </xf>
    <xf numFmtId="9" fontId="12" fillId="9" borderId="0" xfId="73" applyFont="1" applyFill="1" applyAlignment="1">
      <alignment wrapText="1"/>
    </xf>
    <xf numFmtId="9" fontId="12" fillId="10" borderId="0" xfId="73" applyFont="1" applyFill="1"/>
    <xf numFmtId="0" fontId="12" fillId="15" borderId="0" xfId="0" applyFont="1" applyFill="1" applyAlignment="1">
      <alignment wrapText="1"/>
    </xf>
    <xf numFmtId="0" fontId="12" fillId="15" borderId="0" xfId="0" applyFont="1" applyFill="1"/>
    <xf numFmtId="9" fontId="12" fillId="15" borderId="0" xfId="73" applyFont="1" applyFill="1"/>
    <xf numFmtId="0" fontId="12" fillId="2" borderId="0" xfId="0" applyFont="1" applyFill="1"/>
    <xf numFmtId="9" fontId="12" fillId="2" borderId="0" xfId="73" applyFont="1" applyFill="1"/>
    <xf numFmtId="0" fontId="12" fillId="14" borderId="0" xfId="0" applyFont="1" applyFill="1" applyAlignment="1">
      <alignment wrapText="1"/>
    </xf>
    <xf numFmtId="9" fontId="12" fillId="14" borderId="0" xfId="73" applyFont="1" applyFill="1"/>
    <xf numFmtId="0" fontId="12" fillId="7" borderId="0" xfId="0" applyFont="1" applyFill="1"/>
    <xf numFmtId="9" fontId="12" fillId="7" borderId="0" xfId="73" applyFont="1" applyFill="1"/>
    <xf numFmtId="9" fontId="12" fillId="11" borderId="0" xfId="73" applyFont="1" applyFill="1"/>
    <xf numFmtId="9" fontId="12" fillId="3" borderId="0" xfId="73" applyFont="1" applyFill="1" applyAlignment="1">
      <alignment wrapText="1"/>
    </xf>
    <xf numFmtId="0" fontId="12" fillId="8" borderId="0" xfId="0" applyFont="1" applyFill="1" applyAlignment="1">
      <alignment wrapText="1"/>
    </xf>
    <xf numFmtId="9" fontId="12" fillId="8" borderId="0" xfId="73" applyFont="1" applyFill="1" applyAlignment="1">
      <alignment wrapText="1"/>
    </xf>
    <xf numFmtId="0" fontId="12" fillId="19" borderId="0" xfId="0" applyFont="1" applyFill="1"/>
    <xf numFmtId="9" fontId="12" fillId="12" borderId="0" xfId="73" applyFont="1" applyFill="1" applyAlignment="1">
      <alignment wrapText="1"/>
    </xf>
    <xf numFmtId="9" fontId="12" fillId="19" borderId="0" xfId="73" applyFont="1" applyFill="1"/>
    <xf numFmtId="9" fontId="12" fillId="13" borderId="0" xfId="73" applyFont="1" applyFill="1"/>
    <xf numFmtId="0" fontId="15" fillId="16" borderId="0" xfId="0" applyFont="1" applyFill="1"/>
    <xf numFmtId="0" fontId="15" fillId="16" borderId="0" xfId="0" applyFont="1" applyFill="1" applyAlignment="1">
      <alignment horizontal="right"/>
    </xf>
    <xf numFmtId="0" fontId="15" fillId="16" borderId="0" xfId="0" applyFont="1" applyFill="1" applyAlignment="1">
      <alignment horizontal="right" vertical="top"/>
    </xf>
    <xf numFmtId="0" fontId="17" fillId="16" borderId="0" xfId="0" applyFont="1" applyFill="1"/>
    <xf numFmtId="0" fontId="15" fillId="16" borderId="0" xfId="0" applyFont="1" applyFill="1" applyBorder="1" applyAlignment="1">
      <alignment vertical="top" wrapText="1"/>
    </xf>
    <xf numFmtId="0" fontId="15" fillId="16" borderId="0" xfId="0" applyFont="1" applyFill="1" applyBorder="1"/>
    <xf numFmtId="0" fontId="21" fillId="16" borderId="0" xfId="0" applyFont="1" applyFill="1"/>
    <xf numFmtId="0" fontId="16" fillId="16" borderId="0" xfId="0" applyFont="1" applyFill="1"/>
    <xf numFmtId="0" fontId="16" fillId="16" borderId="0" xfId="0" applyFont="1" applyFill="1" applyAlignment="1">
      <alignment vertical="top" wrapText="1"/>
    </xf>
    <xf numFmtId="0" fontId="19" fillId="16" borderId="0" xfId="0" applyFont="1" applyFill="1" applyBorder="1" applyAlignment="1">
      <alignment horizontal="right" vertical="center" wrapText="1"/>
    </xf>
    <xf numFmtId="0" fontId="19" fillId="16" borderId="0" xfId="0" applyFont="1" applyFill="1" applyBorder="1" applyAlignment="1">
      <alignment horizontal="left" vertical="center" wrapText="1"/>
    </xf>
    <xf numFmtId="9" fontId="19" fillId="16" borderId="0" xfId="0" applyNumberFormat="1" applyFont="1" applyFill="1" applyBorder="1" applyAlignment="1">
      <alignment horizontal="right" vertical="center" wrapText="1"/>
    </xf>
    <xf numFmtId="0" fontId="23" fillId="16" borderId="0" xfId="11" applyFont="1" applyFill="1"/>
    <xf numFmtId="0" fontId="15" fillId="16" borderId="0" xfId="0" applyFont="1" applyFill="1" applyAlignment="1">
      <alignment vertical="top" wrapText="1"/>
    </xf>
    <xf numFmtId="0" fontId="15" fillId="16" borderId="0" xfId="0" applyFont="1" applyFill="1" applyAlignment="1">
      <alignment horizontal="right" vertical="top" wrapText="1"/>
    </xf>
    <xf numFmtId="0" fontId="24" fillId="16" borderId="0" xfId="0" applyFont="1" applyFill="1" applyAlignment="1">
      <alignment horizontal="right" vertical="top"/>
    </xf>
    <xf numFmtId="0" fontId="18" fillId="16" borderId="0" xfId="0" applyFont="1" applyFill="1" applyAlignment="1">
      <alignment horizontal="left" vertical="top" wrapText="1"/>
    </xf>
    <xf numFmtId="0" fontId="19" fillId="16" borderId="0" xfId="0" applyFont="1" applyFill="1" applyAlignment="1">
      <alignment horizontal="left" vertical="center"/>
    </xf>
    <xf numFmtId="0" fontId="19" fillId="16" borderId="0" xfId="0" applyFont="1" applyFill="1"/>
    <xf numFmtId="0" fontId="20" fillId="16" borderId="0" xfId="0" applyFont="1" applyFill="1" applyBorder="1" applyAlignment="1">
      <alignment horizontal="left" vertical="center" wrapText="1"/>
    </xf>
    <xf numFmtId="9" fontId="19" fillId="16" borderId="0" xfId="0" applyNumberFormat="1" applyFont="1" applyFill="1" applyBorder="1" applyAlignment="1">
      <alignment horizontal="left" vertical="center" wrapText="1"/>
    </xf>
    <xf numFmtId="9" fontId="20" fillId="16" borderId="0" xfId="0" applyNumberFormat="1" applyFont="1" applyFill="1" applyBorder="1" applyAlignment="1">
      <alignment horizontal="right" vertical="center" wrapText="1"/>
    </xf>
    <xf numFmtId="0" fontId="15" fillId="4" borderId="0" xfId="0" applyFont="1" applyFill="1"/>
    <xf numFmtId="0" fontId="19" fillId="4" borderId="0" xfId="0" applyFont="1" applyFill="1" applyAlignment="1">
      <alignment vertical="top" wrapText="1"/>
    </xf>
    <xf numFmtId="0" fontId="19" fillId="16" borderId="0" xfId="0" applyFont="1" applyFill="1" applyAlignment="1">
      <alignment vertical="top" wrapText="1"/>
    </xf>
    <xf numFmtId="0" fontId="15" fillId="16" borderId="0" xfId="0" applyFont="1" applyFill="1" applyAlignment="1">
      <alignment horizontal="left" vertical="top" wrapText="1"/>
    </xf>
    <xf numFmtId="0" fontId="26" fillId="16" borderId="0" xfId="0" applyFont="1" applyFill="1" applyBorder="1" applyAlignment="1">
      <alignment horizontal="left" vertical="center" wrapText="1"/>
    </xf>
    <xf numFmtId="9" fontId="26" fillId="16" borderId="0" xfId="0" applyNumberFormat="1" applyFont="1" applyFill="1" applyBorder="1" applyAlignment="1">
      <alignment horizontal="right" vertical="center" wrapText="1"/>
    </xf>
    <xf numFmtId="0" fontId="27" fillId="16" borderId="0" xfId="0" applyFont="1" applyFill="1"/>
    <xf numFmtId="0" fontId="15" fillId="0" borderId="0" xfId="0" applyFont="1"/>
    <xf numFmtId="0" fontId="24" fillId="16" borderId="0" xfId="0" applyFont="1" applyFill="1"/>
    <xf numFmtId="0" fontId="16" fillId="16" borderId="0" xfId="0" applyFont="1" applyFill="1" applyAlignment="1"/>
    <xf numFmtId="0" fontId="16" fillId="16" borderId="0" xfId="0" applyFont="1" applyFill="1" applyAlignment="1">
      <alignment vertical="top"/>
    </xf>
    <xf numFmtId="0" fontId="15" fillId="16" borderId="2" xfId="0" applyFont="1" applyFill="1" applyBorder="1" applyAlignment="1">
      <alignment vertical="top" wrapText="1"/>
    </xf>
    <xf numFmtId="0" fontId="25" fillId="16" borderId="0" xfId="0" applyFont="1" applyFill="1" applyAlignment="1">
      <alignment vertical="top"/>
    </xf>
    <xf numFmtId="0" fontId="25" fillId="16" borderId="0" xfId="0" applyFont="1" applyFill="1" applyAlignment="1">
      <alignment horizontal="left" vertical="top"/>
    </xf>
    <xf numFmtId="0" fontId="16" fillId="16" borderId="0" xfId="0" applyFont="1" applyFill="1" applyBorder="1" applyAlignment="1">
      <alignment horizontal="left" vertical="center" wrapText="1"/>
    </xf>
    <xf numFmtId="0" fontId="15" fillId="16" borderId="0" xfId="0" applyFont="1" applyFill="1" applyBorder="1" applyAlignment="1">
      <alignment horizontal="right" vertical="center" wrapText="1"/>
    </xf>
    <xf numFmtId="0" fontId="25" fillId="16" borderId="0" xfId="0" applyFont="1" applyFill="1"/>
    <xf numFmtId="0" fontId="19" fillId="16" borderId="0" xfId="0" applyFont="1" applyFill="1" applyBorder="1"/>
    <xf numFmtId="9" fontId="19" fillId="18" borderId="0" xfId="0" applyNumberFormat="1" applyFont="1" applyFill="1" applyBorder="1" applyAlignment="1">
      <alignment horizontal="right" vertical="center" wrapText="1"/>
    </xf>
    <xf numFmtId="0" fontId="20" fillId="16" borderId="0" xfId="0" applyFont="1" applyFill="1"/>
    <xf numFmtId="0" fontId="20" fillId="16" borderId="0" xfId="0" applyFont="1" applyFill="1" applyAlignment="1">
      <alignment horizontal="left" vertical="center" wrapText="1"/>
    </xf>
    <xf numFmtId="0" fontId="15" fillId="4" borderId="0" xfId="0" applyFont="1" applyFill="1" applyAlignment="1"/>
    <xf numFmtId="0" fontId="19" fillId="4" borderId="0" xfId="0" applyFont="1" applyFill="1" applyAlignment="1">
      <alignment horizontal="left" vertical="top" wrapText="1"/>
    </xf>
    <xf numFmtId="0" fontId="15" fillId="16" borderId="0" xfId="0" applyFont="1" applyFill="1" applyAlignment="1">
      <alignment vertical="top"/>
    </xf>
    <xf numFmtId="0" fontId="19" fillId="16" borderId="0" xfId="0" applyFont="1" applyFill="1" applyAlignment="1">
      <alignment horizontal="left" vertical="top" wrapText="1"/>
    </xf>
    <xf numFmtId="0" fontId="28" fillId="16" borderId="0" xfId="0" applyFont="1" applyFill="1" applyAlignment="1">
      <alignment horizontal="center"/>
    </xf>
    <xf numFmtId="0" fontId="17" fillId="16" borderId="0" xfId="0" applyFont="1" applyFill="1" applyAlignment="1">
      <alignment horizontal="right" vertical="top" wrapText="1"/>
    </xf>
    <xf numFmtId="0" fontId="22" fillId="16" borderId="0" xfId="0" applyFont="1" applyFill="1" applyBorder="1" applyAlignment="1">
      <alignment horizontal="left" vertical="center" wrapText="1"/>
    </xf>
    <xf numFmtId="0" fontId="16" fillId="16" borderId="0" xfId="0" applyFont="1" applyFill="1" applyAlignment="1">
      <alignment horizontal="left" vertical="top" wrapText="1"/>
    </xf>
    <xf numFmtId="9" fontId="22" fillId="18" borderId="0" xfId="0" applyNumberFormat="1" applyFont="1" applyFill="1" applyBorder="1" applyAlignment="1">
      <alignment horizontal="center" vertical="center" wrapText="1"/>
    </xf>
    <xf numFmtId="0" fontId="19" fillId="16" borderId="0" xfId="0" applyFont="1" applyFill="1" applyBorder="1" applyAlignment="1">
      <alignment horizontal="left" vertical="top" wrapText="1"/>
    </xf>
    <xf numFmtId="0" fontId="18" fillId="16" borderId="0" xfId="0" applyFont="1" applyFill="1" applyBorder="1" applyAlignment="1">
      <alignment horizontal="left" vertical="top" wrapText="1"/>
    </xf>
    <xf numFmtId="0" fontId="18" fillId="16" borderId="0" xfId="0" applyFont="1" applyFill="1" applyAlignment="1">
      <alignment horizontal="left" vertical="center"/>
    </xf>
    <xf numFmtId="0" fontId="15" fillId="4" borderId="0" xfId="0" applyFont="1" applyFill="1" applyAlignment="1">
      <alignment horizontal="left" vertical="top" wrapText="1"/>
    </xf>
    <xf numFmtId="9" fontId="15" fillId="16" borderId="0" xfId="0" applyNumberFormat="1" applyFont="1" applyFill="1"/>
    <xf numFmtId="0" fontId="28" fillId="16" borderId="0" xfId="0" applyFont="1" applyFill="1"/>
    <xf numFmtId="0" fontId="28" fillId="16" borderId="0" xfId="0" applyFont="1" applyFill="1" applyAlignment="1">
      <alignment horizontal="right" vertical="top" wrapText="1"/>
    </xf>
    <xf numFmtId="0" fontId="25" fillId="16" borderId="1" xfId="0" applyFont="1" applyFill="1" applyBorder="1" applyAlignment="1">
      <alignment horizontal="center" vertical="center" wrapText="1"/>
    </xf>
    <xf numFmtId="0" fontId="18" fillId="16" borderId="0" xfId="0" applyFont="1" applyFill="1" applyAlignment="1">
      <alignment vertical="top" wrapText="1"/>
    </xf>
    <xf numFmtId="0" fontId="24" fillId="16" borderId="0" xfId="0" applyFont="1" applyFill="1" applyAlignment="1">
      <alignment horizontal="left" vertical="top" wrapText="1"/>
    </xf>
    <xf numFmtId="0" fontId="24" fillId="16" borderId="0" xfId="11" applyFont="1" applyFill="1"/>
    <xf numFmtId="0" fontId="19" fillId="16" borderId="0" xfId="0" applyFont="1" applyFill="1" applyAlignment="1">
      <alignment horizontal="center" vertical="center"/>
    </xf>
    <xf numFmtId="3" fontId="19" fillId="16" borderId="0" xfId="0" applyNumberFormat="1" applyFont="1" applyFill="1" applyAlignment="1">
      <alignment horizontal="center" vertical="center"/>
    </xf>
    <xf numFmtId="0" fontId="24" fillId="16" borderId="0" xfId="11" applyFont="1" applyFill="1" applyAlignment="1"/>
    <xf numFmtId="0" fontId="25" fillId="16" borderId="0" xfId="0" applyFont="1" applyFill="1" applyAlignment="1">
      <alignment horizontal="left" vertical="top" wrapText="1"/>
    </xf>
    <xf numFmtId="0" fontId="24" fillId="16" borderId="0" xfId="0" applyFont="1" applyFill="1" applyAlignment="1">
      <alignment wrapText="1"/>
    </xf>
    <xf numFmtId="0" fontId="20" fillId="16" borderId="0" xfId="0" applyFont="1" applyFill="1" applyBorder="1" applyAlignment="1">
      <alignment horizontal="center" vertical="center" wrapText="1"/>
    </xf>
    <xf numFmtId="0" fontId="19" fillId="16" borderId="0" xfId="0" applyFont="1" applyFill="1" applyAlignment="1">
      <alignment horizontal="center"/>
    </xf>
    <xf numFmtId="0" fontId="19" fillId="16" borderId="0" xfId="0" applyFont="1" applyFill="1" applyBorder="1" applyAlignment="1">
      <alignment horizontal="center" vertical="center" wrapText="1"/>
    </xf>
    <xf numFmtId="0" fontId="19" fillId="16" borderId="2" xfId="0" applyFont="1" applyFill="1" applyBorder="1" applyAlignment="1">
      <alignment horizontal="center" vertical="center" wrapText="1"/>
    </xf>
    <xf numFmtId="4" fontId="19" fillId="16" borderId="0" xfId="0" applyNumberFormat="1" applyFont="1" applyFill="1" applyBorder="1" applyAlignment="1">
      <alignment horizontal="center" vertical="center" wrapText="1"/>
    </xf>
    <xf numFmtId="166" fontId="19" fillId="16" borderId="0" xfId="72" applyNumberFormat="1" applyFont="1" applyFill="1" applyBorder="1" applyAlignment="1">
      <alignment horizontal="right" vertical="center" wrapText="1"/>
    </xf>
    <xf numFmtId="4" fontId="19" fillId="16" borderId="0" xfId="72" applyNumberFormat="1" applyFont="1" applyFill="1" applyBorder="1" applyAlignment="1">
      <alignment horizontal="right" vertical="center" wrapText="1"/>
    </xf>
    <xf numFmtId="0" fontId="15" fillId="4" borderId="2" xfId="0" applyNumberFormat="1" applyFont="1" applyFill="1" applyBorder="1" applyAlignment="1">
      <alignment vertical="center"/>
    </xf>
    <xf numFmtId="0" fontId="16" fillId="16" borderId="0" xfId="0" applyFont="1" applyFill="1" applyBorder="1" applyAlignment="1">
      <alignment vertical="center"/>
    </xf>
    <xf numFmtId="9" fontId="15" fillId="4" borderId="2" xfId="0" applyNumberFormat="1" applyFont="1" applyFill="1" applyBorder="1" applyAlignment="1">
      <alignment vertical="center"/>
    </xf>
    <xf numFmtId="165" fontId="15" fillId="4" borderId="2" xfId="0" applyNumberFormat="1" applyFont="1" applyFill="1" applyBorder="1" applyAlignment="1">
      <alignment horizontal="center" vertical="center"/>
    </xf>
    <xf numFmtId="4" fontId="15" fillId="4" borderId="2" xfId="0" applyNumberFormat="1" applyFont="1" applyFill="1" applyBorder="1" applyAlignment="1">
      <alignment vertical="center"/>
    </xf>
    <xf numFmtId="165" fontId="15" fillId="16" borderId="0" xfId="0" applyNumberFormat="1" applyFont="1" applyFill="1" applyBorder="1" applyAlignment="1">
      <alignment vertical="center"/>
    </xf>
    <xf numFmtId="0" fontId="15" fillId="16" borderId="0" xfId="0" applyFont="1" applyFill="1" applyAlignment="1">
      <alignment vertical="center"/>
    </xf>
    <xf numFmtId="0" fontId="19" fillId="16" borderId="0" xfId="0" applyFont="1" applyFill="1" applyAlignment="1">
      <alignment vertical="top"/>
    </xf>
    <xf numFmtId="0" fontId="15" fillId="0" borderId="0" xfId="0" applyFont="1" applyFill="1"/>
    <xf numFmtId="1" fontId="22" fillId="17" borderId="2" xfId="0" applyNumberFormat="1" applyFont="1" applyFill="1" applyBorder="1" applyAlignment="1" applyProtection="1">
      <alignment horizontal="center" vertical="center" wrapText="1"/>
      <protection locked="0"/>
    </xf>
    <xf numFmtId="0" fontId="16" fillId="16" borderId="0" xfId="0" applyFont="1" applyFill="1" applyAlignment="1">
      <alignment wrapText="1"/>
    </xf>
    <xf numFmtId="0" fontId="25" fillId="16" borderId="0" xfId="0" applyFont="1" applyFill="1" applyBorder="1" applyAlignment="1">
      <alignment horizontal="left" vertical="center" wrapText="1"/>
    </xf>
    <xf numFmtId="0" fontId="16" fillId="16" borderId="0" xfId="0" applyFont="1" applyFill="1" applyBorder="1"/>
    <xf numFmtId="0" fontId="18" fillId="16" borderId="0" xfId="0" applyFont="1" applyFill="1" applyBorder="1" applyAlignment="1">
      <alignment horizontal="left" vertical="center" wrapText="1"/>
    </xf>
    <xf numFmtId="165" fontId="15" fillId="16" borderId="0" xfId="0" applyNumberFormat="1" applyFont="1" applyFill="1" applyBorder="1" applyAlignment="1"/>
    <xf numFmtId="0" fontId="25" fillId="16" borderId="0" xfId="0" applyFont="1" applyFill="1" applyBorder="1" applyAlignment="1">
      <alignment vertical="center" wrapText="1"/>
    </xf>
    <xf numFmtId="9" fontId="15" fillId="16" borderId="0" xfId="73" applyFont="1" applyFill="1" applyBorder="1" applyAlignment="1">
      <alignment vertical="center"/>
    </xf>
    <xf numFmtId="165" fontId="15" fillId="16" borderId="0" xfId="0" applyNumberFormat="1" applyFont="1" applyFill="1" applyBorder="1"/>
    <xf numFmtId="0" fontId="28" fillId="16" borderId="0" xfId="0" applyFont="1" applyFill="1" applyAlignment="1">
      <alignment horizontal="center" wrapText="1"/>
    </xf>
    <xf numFmtId="0" fontId="18" fillId="16" borderId="0" xfId="0" applyFont="1" applyFill="1" applyBorder="1" applyAlignment="1">
      <alignment vertical="top" wrapText="1"/>
    </xf>
    <xf numFmtId="3" fontId="15" fillId="16" borderId="0" xfId="0" applyNumberFormat="1" applyFont="1" applyFill="1" applyBorder="1" applyAlignment="1">
      <alignment vertical="center"/>
    </xf>
    <xf numFmtId="0" fontId="18" fillId="16" borderId="1" xfId="0" applyFont="1" applyFill="1" applyBorder="1" applyAlignment="1">
      <alignment vertical="top" wrapText="1"/>
    </xf>
    <xf numFmtId="0" fontId="21" fillId="16" borderId="0" xfId="0" applyFont="1" applyFill="1" applyAlignment="1">
      <alignment horizontal="left" vertical="top" wrapText="1"/>
    </xf>
    <xf numFmtId="0" fontId="18" fillId="16" borderId="0" xfId="0" applyFont="1" applyFill="1" applyAlignment="1">
      <alignment horizontal="center" vertical="top" wrapText="1"/>
    </xf>
    <xf numFmtId="0" fontId="18" fillId="16" borderId="0" xfId="0" applyFont="1" applyFill="1" applyAlignment="1">
      <alignment horizontal="left" vertical="top" wrapText="1"/>
    </xf>
    <xf numFmtId="0" fontId="18" fillId="16" borderId="0" xfId="0" applyFont="1" applyFill="1" applyBorder="1" applyAlignment="1">
      <alignment horizontal="left" vertical="top" wrapText="1"/>
    </xf>
    <xf numFmtId="0" fontId="15" fillId="4" borderId="0" xfId="0" applyFont="1" applyFill="1" applyAlignment="1">
      <alignment horizontal="left" vertical="top" wrapText="1"/>
    </xf>
    <xf numFmtId="0" fontId="25" fillId="16" borderId="0" xfId="0" applyFont="1" applyFill="1" applyAlignment="1">
      <alignment horizontal="left" vertical="center"/>
    </xf>
    <xf numFmtId="0" fontId="25" fillId="16" borderId="0" xfId="0" applyFont="1" applyFill="1" applyAlignment="1">
      <alignment horizontal="left" vertical="top" wrapText="1"/>
    </xf>
    <xf numFmtId="0" fontId="19" fillId="4" borderId="0" xfId="0" applyFont="1" applyFill="1" applyAlignment="1">
      <alignment horizontal="left" vertical="top" wrapText="1"/>
    </xf>
    <xf numFmtId="0" fontId="25" fillId="16" borderId="0" xfId="0" applyFont="1" applyFill="1" applyAlignment="1">
      <alignment horizontal="left" vertical="center" wrapText="1"/>
    </xf>
    <xf numFmtId="0" fontId="19" fillId="16" borderId="0" xfId="0" applyFont="1" applyFill="1" applyAlignment="1">
      <alignment horizontal="left" vertical="top" wrapText="1"/>
    </xf>
    <xf numFmtId="0" fontId="25" fillId="16" borderId="0" xfId="0" applyFont="1" applyFill="1" applyAlignment="1">
      <alignment horizontal="left" vertical="top"/>
    </xf>
    <xf numFmtId="0" fontId="19" fillId="16" borderId="0" xfId="0" applyFont="1" applyFill="1" applyBorder="1" applyAlignment="1">
      <alignment horizontal="left" vertical="top" wrapText="1"/>
    </xf>
    <xf numFmtId="0" fontId="28" fillId="16" borderId="0" xfId="0" applyFont="1" applyFill="1" applyAlignment="1">
      <alignment horizontal="center"/>
    </xf>
    <xf numFmtId="0" fontId="12" fillId="16" borderId="0" xfId="0" applyFont="1" applyFill="1"/>
    <xf numFmtId="0" fontId="20" fillId="16" borderId="0" xfId="0" applyFont="1" applyFill="1" applyAlignment="1">
      <alignment vertical="top" wrapText="1"/>
    </xf>
    <xf numFmtId="9" fontId="19" fillId="16" borderId="0" xfId="0" applyNumberFormat="1" applyFont="1" applyFill="1" applyBorder="1" applyAlignment="1">
      <alignment vertical="center" wrapText="1"/>
    </xf>
    <xf numFmtId="0" fontId="18" fillId="16" borderId="0" xfId="0" applyFont="1" applyFill="1" applyBorder="1"/>
    <xf numFmtId="0" fontId="15" fillId="4" borderId="0" xfId="0" applyFont="1" applyFill="1" applyAlignment="1">
      <alignment horizontal="left"/>
    </xf>
    <xf numFmtId="0" fontId="15" fillId="16" borderId="0" xfId="0" applyFont="1" applyFill="1" applyAlignment="1">
      <alignment horizontal="center"/>
    </xf>
    <xf numFmtId="0" fontId="18" fillId="16" borderId="0" xfId="0" applyFont="1" applyFill="1" applyBorder="1" applyAlignment="1">
      <alignment horizontal="left" vertical="center"/>
    </xf>
    <xf numFmtId="0" fontId="16" fillId="16" borderId="0" xfId="0" applyFont="1" applyFill="1" applyAlignment="1">
      <alignment horizontal="left"/>
    </xf>
    <xf numFmtId="17" fontId="16" fillId="16" borderId="0" xfId="0" quotePrefix="1" applyNumberFormat="1" applyFont="1" applyFill="1" applyAlignment="1">
      <alignment horizontal="center" wrapText="1"/>
    </xf>
    <xf numFmtId="0" fontId="16" fillId="16" borderId="0" xfId="0" applyFont="1" applyFill="1" applyAlignment="1">
      <alignment horizontal="center" wrapText="1"/>
    </xf>
    <xf numFmtId="17" fontId="16" fillId="16" borderId="0" xfId="0" applyNumberFormat="1" applyFont="1" applyFill="1" applyAlignment="1">
      <alignment horizontal="center" wrapText="1"/>
    </xf>
    <xf numFmtId="0" fontId="16" fillId="0" borderId="0" xfId="0" applyFont="1" applyBorder="1"/>
    <xf numFmtId="165" fontId="15" fillId="0" borderId="0" xfId="0" applyNumberFormat="1" applyFont="1" applyFill="1" applyBorder="1" applyAlignment="1"/>
    <xf numFmtId="0" fontId="18" fillId="16" borderId="0" xfId="0" applyFont="1" applyFill="1" applyAlignment="1">
      <alignment horizontal="left" vertical="center" wrapText="1"/>
    </xf>
    <xf numFmtId="0" fontId="16" fillId="16" borderId="0" xfId="0" applyFont="1" applyFill="1" applyBorder="1" applyAlignment="1">
      <alignment wrapText="1"/>
    </xf>
    <xf numFmtId="0" fontId="28" fillId="0" borderId="0" xfId="0" applyFont="1" applyAlignment="1">
      <alignment horizontal="center"/>
    </xf>
    <xf numFmtId="165" fontId="15" fillId="16" borderId="0" xfId="0" applyNumberFormat="1" applyFont="1" applyFill="1" applyAlignment="1"/>
    <xf numFmtId="0" fontId="15" fillId="0" borderId="0" xfId="0" applyFont="1" applyAlignment="1">
      <alignment vertical="top" wrapText="1"/>
    </xf>
    <xf numFmtId="0" fontId="15" fillId="16" borderId="2" xfId="0" applyFont="1" applyFill="1" applyBorder="1" applyAlignment="1">
      <alignment horizontal="center" vertical="top" wrapText="1"/>
    </xf>
    <xf numFmtId="0" fontId="24" fillId="0" borderId="0" xfId="0" applyFont="1" applyFill="1"/>
    <xf numFmtId="0" fontId="18" fillId="16" borderId="2" xfId="0" applyFont="1" applyFill="1" applyBorder="1" applyAlignment="1">
      <alignment horizontal="center" vertical="center" wrapText="1"/>
    </xf>
    <xf numFmtId="0" fontId="29" fillId="16" borderId="0" xfId="11" applyFont="1" applyFill="1"/>
    <xf numFmtId="0" fontId="3" fillId="16" borderId="0" xfId="11" applyFill="1"/>
    <xf numFmtId="0" fontId="31" fillId="16" borderId="0" xfId="11" applyFont="1" applyFill="1" applyAlignment="1" applyProtection="1">
      <alignment horizontal="center"/>
      <protection locked="0"/>
    </xf>
    <xf numFmtId="0" fontId="19" fillId="4" borderId="0" xfId="0" applyFont="1" applyFill="1" applyAlignment="1">
      <alignment horizontal="left" vertical="top" wrapText="1"/>
    </xf>
    <xf numFmtId="0" fontId="19" fillId="16" borderId="0" xfId="0" applyFont="1" applyFill="1" applyAlignment="1">
      <alignment horizontal="left" vertical="top" wrapText="1"/>
    </xf>
    <xf numFmtId="0" fontId="19" fillId="4" borderId="0" xfId="0" applyFont="1" applyFill="1" applyAlignment="1">
      <alignment horizontal="left" vertical="top" wrapText="1"/>
    </xf>
    <xf numFmtId="0" fontId="19" fillId="16" borderId="0" xfId="0" applyFont="1" applyFill="1" applyAlignment="1">
      <alignment horizontal="left" vertical="top" wrapText="1"/>
    </xf>
    <xf numFmtId="167" fontId="32" fillId="20" borderId="6" xfId="0" applyNumberFormat="1" applyFont="1" applyFill="1" applyBorder="1"/>
    <xf numFmtId="0" fontId="32" fillId="20" borderId="6" xfId="0" applyFont="1" applyFill="1" applyBorder="1"/>
    <xf numFmtId="167" fontId="32" fillId="20" borderId="0" xfId="0" applyNumberFormat="1" applyFont="1" applyFill="1" applyBorder="1"/>
    <xf numFmtId="0" fontId="15" fillId="10" borderId="0" xfId="0" applyFont="1" applyFill="1"/>
    <xf numFmtId="0" fontId="15" fillId="21" borderId="0" xfId="0" applyFont="1" applyFill="1"/>
    <xf numFmtId="0" fontId="15" fillId="11" borderId="0" xfId="0" applyFont="1" applyFill="1"/>
    <xf numFmtId="0" fontId="15" fillId="13" borderId="0" xfId="0" applyFont="1" applyFill="1"/>
    <xf numFmtId="3" fontId="15" fillId="0" borderId="0" xfId="0" applyNumberFormat="1" applyFont="1"/>
    <xf numFmtId="9" fontId="15" fillId="0" borderId="0" xfId="0" applyNumberFormat="1" applyFont="1"/>
    <xf numFmtId="4" fontId="15" fillId="0" borderId="0" xfId="0" applyNumberFormat="1" applyFont="1"/>
    <xf numFmtId="0" fontId="15" fillId="5" borderId="0" xfId="0" applyFont="1" applyFill="1"/>
    <xf numFmtId="0" fontId="33" fillId="0" borderId="0" xfId="0" applyFont="1"/>
    <xf numFmtId="167" fontId="21" fillId="20" borderId="0" xfId="0" applyNumberFormat="1" applyFont="1" applyFill="1" applyBorder="1"/>
    <xf numFmtId="0" fontId="15" fillId="22" borderId="0" xfId="0" applyFont="1" applyFill="1"/>
    <xf numFmtId="167" fontId="21" fillId="20" borderId="6" xfId="0" applyNumberFormat="1" applyFont="1" applyFill="1" applyBorder="1"/>
    <xf numFmtId="0" fontId="25" fillId="16" borderId="0" xfId="0" applyFont="1" applyFill="1" applyAlignment="1">
      <alignment horizontal="left" vertical="center"/>
    </xf>
    <xf numFmtId="0" fontId="15" fillId="16" borderId="0" xfId="0" applyFont="1" applyFill="1" applyAlignment="1">
      <alignment horizontal="left"/>
    </xf>
    <xf numFmtId="0" fontId="25" fillId="16" borderId="0" xfId="0" applyFont="1" applyFill="1" applyAlignment="1">
      <alignment horizontal="left" vertical="top" wrapText="1"/>
    </xf>
    <xf numFmtId="0" fontId="25" fillId="16" borderId="0" xfId="0" applyFont="1" applyFill="1" applyAlignment="1">
      <alignment horizontal="left" vertical="top"/>
    </xf>
    <xf numFmtId="3" fontId="12" fillId="0" borderId="0" xfId="0" applyNumberFormat="1" applyFont="1"/>
    <xf numFmtId="0" fontId="15" fillId="0" borderId="0" xfId="0" applyFont="1" applyAlignment="1">
      <alignment horizontal="left"/>
    </xf>
    <xf numFmtId="9" fontId="15" fillId="4" borderId="2" xfId="73" applyFont="1" applyFill="1" applyBorder="1" applyAlignment="1">
      <alignment vertical="center"/>
    </xf>
    <xf numFmtId="4" fontId="15" fillId="0" borderId="0" xfId="0" applyNumberFormat="1" applyFont="1" applyFill="1"/>
    <xf numFmtId="3" fontId="15" fillId="0" borderId="0" xfId="0" applyNumberFormat="1" applyFont="1" applyFill="1"/>
    <xf numFmtId="0" fontId="2" fillId="10" borderId="0" xfId="0" applyFont="1" applyFill="1"/>
    <xf numFmtId="0" fontId="2" fillId="14" borderId="0" xfId="0" applyFont="1" applyFill="1"/>
    <xf numFmtId="0" fontId="2" fillId="11" borderId="0" xfId="0" applyFont="1" applyFill="1"/>
    <xf numFmtId="0" fontId="21" fillId="0" borderId="0" xfId="0" applyFont="1" applyAlignment="1">
      <alignment horizontal="center" vertical="top" wrapText="1"/>
    </xf>
    <xf numFmtId="0" fontId="15" fillId="5" borderId="0" xfId="0" applyFont="1" applyFill="1" applyAlignment="1">
      <alignment vertical="top" wrapText="1"/>
    </xf>
    <xf numFmtId="0" fontId="16" fillId="0" borderId="1" xfId="0" applyFont="1" applyBorder="1" applyAlignment="1">
      <alignment vertical="top" wrapText="1"/>
    </xf>
    <xf numFmtId="0" fontId="16" fillId="0" borderId="1" xfId="0" applyFont="1" applyBorder="1"/>
    <xf numFmtId="0" fontId="34" fillId="0" borderId="0" xfId="0" applyFont="1" applyAlignment="1">
      <alignment vertical="top" wrapText="1"/>
    </xf>
    <xf numFmtId="0" fontId="15" fillId="0" borderId="0" xfId="0" applyFont="1" applyFill="1" applyAlignment="1">
      <alignment vertical="top" wrapText="1"/>
    </xf>
    <xf numFmtId="0" fontId="35" fillId="0" borderId="0" xfId="0" applyFont="1" applyFill="1" applyAlignment="1">
      <alignment vertical="top" wrapText="1"/>
    </xf>
    <xf numFmtId="0" fontId="19" fillId="0" borderId="0" xfId="0" applyFont="1" applyFill="1" applyAlignment="1">
      <alignment vertical="top" wrapText="1"/>
    </xf>
    <xf numFmtId="0" fontId="18" fillId="0" borderId="0" xfId="0" applyFont="1" applyAlignment="1">
      <alignment vertical="top" wrapText="1"/>
    </xf>
    <xf numFmtId="4" fontId="21" fillId="20" borderId="0" xfId="0" applyNumberFormat="1" applyFont="1" applyFill="1" applyBorder="1"/>
    <xf numFmtId="4" fontId="15" fillId="22" borderId="0" xfId="0" applyNumberFormat="1" applyFont="1" applyFill="1"/>
    <xf numFmtId="167" fontId="21" fillId="20" borderId="0" xfId="0" applyNumberFormat="1" applyFont="1" applyFill="1" applyBorder="1" applyAlignment="1">
      <alignment horizontal="left"/>
    </xf>
    <xf numFmtId="0" fontId="15" fillId="0" borderId="0" xfId="0" applyFont="1" applyFill="1" applyAlignment="1">
      <alignment horizontal="left"/>
    </xf>
    <xf numFmtId="0" fontId="15" fillId="22" borderId="0" xfId="0" applyFont="1" applyFill="1" applyAlignment="1">
      <alignment horizontal="left"/>
    </xf>
    <xf numFmtId="0" fontId="33" fillId="0" borderId="0" xfId="0" applyFont="1" applyFill="1"/>
    <xf numFmtId="0" fontId="15" fillId="0" borderId="0" xfId="0" quotePrefix="1" applyFont="1" applyFill="1" applyAlignment="1">
      <alignment vertical="top" wrapText="1"/>
    </xf>
    <xf numFmtId="0" fontId="37" fillId="5" borderId="0" xfId="0" applyFont="1" applyFill="1"/>
    <xf numFmtId="0" fontId="15" fillId="4" borderId="0" xfId="0" applyFont="1" applyFill="1" applyAlignment="1">
      <alignment horizontal="left" vertical="top" wrapText="1"/>
    </xf>
    <xf numFmtId="0" fontId="19" fillId="4" borderId="0" xfId="0" applyFont="1" applyFill="1" applyBorder="1" applyAlignment="1">
      <alignment horizontal="left" vertical="top" wrapText="1"/>
    </xf>
    <xf numFmtId="0" fontId="19" fillId="4" borderId="0" xfId="0" applyFont="1" applyFill="1" applyAlignment="1">
      <alignment vertical="top" wrapText="1"/>
    </xf>
    <xf numFmtId="0" fontId="16" fillId="0" borderId="0" xfId="0" applyFont="1"/>
    <xf numFmtId="0" fontId="13" fillId="16" borderId="0" xfId="0" applyFont="1" applyFill="1" applyProtection="1"/>
    <xf numFmtId="0" fontId="16" fillId="16" borderId="0" xfId="0" applyFont="1" applyFill="1" applyAlignment="1" applyProtection="1">
      <alignment vertical="top" wrapText="1"/>
    </xf>
    <xf numFmtId="0" fontId="19" fillId="16" borderId="0" xfId="0" applyFont="1" applyFill="1" applyBorder="1" applyAlignment="1" applyProtection="1">
      <alignment horizontal="right" vertical="center" wrapText="1"/>
    </xf>
    <xf numFmtId="0" fontId="19" fillId="16" borderId="0" xfId="0" applyFont="1" applyFill="1" applyBorder="1" applyAlignment="1" applyProtection="1">
      <alignment horizontal="left" vertical="center" wrapText="1"/>
    </xf>
    <xf numFmtId="9" fontId="19" fillId="16" borderId="0" xfId="0" applyNumberFormat="1" applyFont="1" applyFill="1" applyBorder="1" applyAlignment="1" applyProtection="1">
      <alignment horizontal="right" vertical="center" wrapText="1"/>
    </xf>
    <xf numFmtId="0" fontId="30" fillId="16" borderId="0" xfId="0" applyFont="1" applyFill="1" applyProtection="1"/>
    <xf numFmtId="0" fontId="18" fillId="4" borderId="0" xfId="0" applyFont="1" applyFill="1" applyBorder="1" applyAlignment="1">
      <alignment horizontal="left" vertical="top" wrapText="1"/>
    </xf>
    <xf numFmtId="0" fontId="15" fillId="4" borderId="0" xfId="0" applyFont="1" applyFill="1" applyAlignment="1">
      <alignment vertical="top"/>
    </xf>
    <xf numFmtId="0" fontId="19" fillId="23" borderId="0" xfId="0" applyFont="1" applyFill="1" applyAlignment="1">
      <alignment horizontal="left" vertical="top" wrapText="1"/>
    </xf>
    <xf numFmtId="0" fontId="15" fillId="16" borderId="0" xfId="0" applyFont="1" applyFill="1" applyProtection="1"/>
    <xf numFmtId="0" fontId="15" fillId="16" borderId="0" xfId="0" applyFont="1" applyFill="1" applyAlignment="1" applyProtection="1">
      <alignment horizontal="right"/>
    </xf>
    <xf numFmtId="0" fontId="15" fillId="0" borderId="0" xfId="0" applyFont="1" applyProtection="1"/>
    <xf numFmtId="0" fontId="15" fillId="16" borderId="0" xfId="0" applyFont="1" applyFill="1" applyAlignment="1" applyProtection="1">
      <alignment horizontal="right" vertical="top"/>
    </xf>
    <xf numFmtId="0" fontId="17" fillId="16" borderId="0" xfId="0" applyFont="1" applyFill="1" applyProtection="1"/>
    <xf numFmtId="0" fontId="17" fillId="16" borderId="0" xfId="0" applyFont="1" applyFill="1" applyAlignment="1" applyProtection="1">
      <alignment horizontal="left" vertical="top" wrapText="1"/>
    </xf>
    <xf numFmtId="0" fontId="21" fillId="16" borderId="0" xfId="0" applyFont="1" applyFill="1" applyProtection="1"/>
    <xf numFmtId="0" fontId="16" fillId="16" borderId="0" xfId="0" applyFont="1" applyFill="1" applyProtection="1"/>
    <xf numFmtId="0" fontId="24" fillId="16" borderId="0" xfId="0" applyFont="1" applyFill="1" applyProtection="1"/>
    <xf numFmtId="0" fontId="5" fillId="16" borderId="0" xfId="0" applyFont="1" applyFill="1" applyProtection="1"/>
    <xf numFmtId="0" fontId="15" fillId="16" borderId="0" xfId="0" applyFont="1" applyFill="1" applyAlignment="1" applyProtection="1">
      <alignment vertical="top" wrapText="1"/>
    </xf>
    <xf numFmtId="0" fontId="15" fillId="16" borderId="0" xfId="0" applyFont="1" applyFill="1" applyAlignment="1" applyProtection="1">
      <alignment horizontal="right" vertical="top" wrapText="1"/>
    </xf>
    <xf numFmtId="0" fontId="7" fillId="16" borderId="0" xfId="0" applyFont="1" applyFill="1" applyAlignment="1" applyProtection="1">
      <alignment vertical="top" wrapText="1"/>
    </xf>
    <xf numFmtId="0" fontId="7" fillId="16" borderId="0" xfId="0" applyFont="1" applyFill="1" applyAlignment="1" applyProtection="1">
      <alignment horizontal="right"/>
    </xf>
    <xf numFmtId="0" fontId="7" fillId="16" borderId="0" xfId="0" applyFont="1" applyFill="1" applyProtection="1"/>
    <xf numFmtId="0" fontId="24" fillId="16" borderId="0" xfId="0" applyFont="1" applyFill="1" applyAlignment="1" applyProtection="1">
      <alignment horizontal="right" vertical="top"/>
    </xf>
    <xf numFmtId="0" fontId="5" fillId="16" borderId="0" xfId="0" applyNumberFormat="1" applyFont="1" applyFill="1" applyProtection="1"/>
    <xf numFmtId="0" fontId="25" fillId="16" borderId="0" xfId="0" applyFont="1" applyFill="1" applyAlignment="1" applyProtection="1">
      <alignment vertical="center"/>
    </xf>
    <xf numFmtId="0" fontId="20" fillId="16" borderId="0" xfId="0" applyFont="1" applyFill="1" applyBorder="1" applyAlignment="1" applyProtection="1">
      <alignment horizontal="left" vertical="center" wrapText="1"/>
    </xf>
    <xf numFmtId="0" fontId="6" fillId="16" borderId="0" xfId="0" applyFont="1" applyFill="1" applyProtection="1"/>
    <xf numFmtId="0" fontId="18" fillId="16" borderId="0" xfId="0" applyFont="1" applyFill="1" applyAlignment="1" applyProtection="1">
      <alignment vertical="center"/>
    </xf>
    <xf numFmtId="9" fontId="19" fillId="2" borderId="2" xfId="0" applyNumberFormat="1" applyFont="1" applyFill="1" applyBorder="1" applyAlignment="1" applyProtection="1">
      <alignment horizontal="right" vertical="center" wrapText="1"/>
      <protection locked="0"/>
    </xf>
    <xf numFmtId="0" fontId="19" fillId="2" borderId="2" xfId="0" applyNumberFormat="1" applyFont="1" applyFill="1" applyBorder="1" applyAlignment="1" applyProtection="1">
      <alignment horizontal="right" vertical="center" wrapText="1"/>
      <protection locked="0"/>
    </xf>
    <xf numFmtId="0" fontId="23" fillId="5" borderId="0" xfId="11" applyFont="1" applyFill="1" applyProtection="1">
      <protection locked="0"/>
    </xf>
    <xf numFmtId="0" fontId="23" fillId="16" borderId="0" xfId="11" applyFont="1" applyFill="1" applyProtection="1">
      <protection locked="0"/>
    </xf>
    <xf numFmtId="0" fontId="19" fillId="16" borderId="0" xfId="0" applyFont="1" applyFill="1" applyBorder="1" applyAlignment="1" applyProtection="1">
      <alignment horizontal="left" vertical="top"/>
    </xf>
    <xf numFmtId="0" fontId="3" fillId="16" borderId="0" xfId="11" applyFill="1" applyProtection="1">
      <protection locked="0"/>
    </xf>
    <xf numFmtId="165" fontId="15" fillId="2" borderId="2" xfId="0" applyNumberFormat="1" applyFont="1" applyFill="1" applyBorder="1" applyAlignment="1" applyProtection="1">
      <alignment horizontal="right"/>
      <protection locked="0"/>
    </xf>
    <xf numFmtId="9" fontId="19" fillId="17" borderId="2" xfId="0" applyNumberFormat="1" applyFont="1" applyFill="1" applyBorder="1" applyAlignment="1" applyProtection="1">
      <alignment horizontal="right" vertical="center" wrapText="1"/>
      <protection locked="0"/>
    </xf>
    <xf numFmtId="0" fontId="29" fillId="16" borderId="0" xfId="11" applyFont="1" applyFill="1" applyProtection="1">
      <protection locked="0"/>
    </xf>
    <xf numFmtId="165" fontId="15" fillId="2" borderId="2" xfId="0" applyNumberFormat="1" applyFont="1" applyFill="1" applyBorder="1" applyAlignment="1" applyProtection="1">
      <alignment vertical="center"/>
      <protection locked="0"/>
    </xf>
    <xf numFmtId="0" fontId="18" fillId="2" borderId="2" xfId="0" applyFont="1" applyFill="1" applyBorder="1" applyAlignment="1" applyProtection="1">
      <alignment horizontal="left" vertical="top" wrapText="1"/>
      <protection locked="0"/>
    </xf>
    <xf numFmtId="165" fontId="15" fillId="2" borderId="3" xfId="0" applyNumberFormat="1" applyFont="1" applyFill="1" applyBorder="1" applyAlignment="1" applyProtection="1">
      <alignment vertical="center"/>
      <protection locked="0"/>
    </xf>
    <xf numFmtId="0" fontId="19" fillId="2" borderId="2" xfId="0" applyFont="1" applyFill="1" applyBorder="1" applyAlignment="1" applyProtection="1">
      <alignment horizontal="left" vertical="top" wrapText="1"/>
      <protection locked="0"/>
    </xf>
    <xf numFmtId="0" fontId="19" fillId="2" borderId="2" xfId="0" applyFont="1" applyFill="1" applyBorder="1" applyAlignment="1" applyProtection="1">
      <alignment horizontal="center" vertical="center"/>
      <protection locked="0"/>
    </xf>
    <xf numFmtId="3" fontId="19" fillId="2" borderId="2" xfId="0" applyNumberFormat="1" applyFont="1" applyFill="1" applyBorder="1" applyAlignment="1" applyProtection="1">
      <alignment horizontal="right" vertical="center"/>
      <protection locked="0"/>
    </xf>
    <xf numFmtId="0" fontId="19" fillId="2" borderId="2" xfId="0" applyFont="1" applyFill="1" applyBorder="1" applyAlignment="1" applyProtection="1">
      <alignment horizontal="left" vertical="center" wrapText="1"/>
      <protection locked="0"/>
    </xf>
    <xf numFmtId="166" fontId="19" fillId="2" borderId="2" xfId="72" applyNumberFormat="1" applyFont="1" applyFill="1" applyBorder="1" applyAlignment="1" applyProtection="1">
      <alignment horizontal="right" vertical="center" wrapText="1"/>
      <protection locked="0"/>
    </xf>
    <xf numFmtId="4" fontId="19" fillId="2" borderId="2" xfId="72" applyNumberFormat="1" applyFont="1" applyFill="1" applyBorder="1" applyAlignment="1" applyProtection="1">
      <alignment horizontal="right" vertical="center" wrapText="1"/>
      <protection locked="0"/>
    </xf>
    <xf numFmtId="3" fontId="15" fillId="2" borderId="2" xfId="0" applyNumberFormat="1" applyFont="1" applyFill="1" applyBorder="1" applyAlignment="1" applyProtection="1">
      <alignment vertical="center"/>
      <protection locked="0"/>
    </xf>
    <xf numFmtId="9" fontId="15" fillId="2" borderId="2" xfId="73" applyFont="1" applyFill="1" applyBorder="1" applyAlignment="1" applyProtection="1">
      <alignment vertical="center"/>
      <protection locked="0"/>
    </xf>
    <xf numFmtId="0" fontId="15" fillId="16" borderId="2" xfId="0" applyFont="1" applyFill="1" applyBorder="1" applyAlignment="1" applyProtection="1">
      <alignment vertical="top" wrapText="1"/>
    </xf>
    <xf numFmtId="0" fontId="25" fillId="16" borderId="0" xfId="0" applyFont="1" applyFill="1" applyAlignment="1" applyProtection="1">
      <alignment vertical="top" wrapText="1"/>
    </xf>
    <xf numFmtId="0" fontId="20" fillId="16" borderId="0" xfId="0" applyFont="1" applyFill="1" applyAlignment="1" applyProtection="1">
      <alignment vertical="top" wrapText="1"/>
    </xf>
    <xf numFmtId="0" fontId="19" fillId="16" borderId="0" xfId="0" applyFont="1" applyFill="1" applyProtection="1"/>
    <xf numFmtId="0" fontId="19" fillId="16" borderId="0" xfId="0" applyFont="1" applyFill="1" applyBorder="1" applyProtection="1"/>
    <xf numFmtId="9" fontId="19" fillId="18" borderId="0" xfId="0" applyNumberFormat="1" applyFont="1" applyFill="1" applyBorder="1" applyAlignment="1" applyProtection="1">
      <alignment horizontal="right" vertical="center" wrapText="1"/>
    </xf>
    <xf numFmtId="9" fontId="19" fillId="16" borderId="0" xfId="0" applyNumberFormat="1" applyFont="1" applyFill="1" applyBorder="1" applyAlignment="1" applyProtection="1">
      <alignment vertical="center" wrapText="1"/>
    </xf>
    <xf numFmtId="0" fontId="18" fillId="16" borderId="0" xfId="0" applyFont="1" applyFill="1" applyBorder="1" applyProtection="1"/>
    <xf numFmtId="0" fontId="15" fillId="4" borderId="0" xfId="0" applyFont="1" applyFill="1" applyAlignment="1" applyProtection="1">
      <alignment horizontal="left"/>
    </xf>
    <xf numFmtId="0" fontId="19" fillId="16" borderId="0" xfId="0" applyFont="1" applyFill="1" applyAlignment="1" applyProtection="1">
      <alignment horizontal="left" vertical="top" wrapText="1"/>
    </xf>
    <xf numFmtId="0" fontId="15" fillId="16" borderId="0" xfId="0" applyFont="1" applyFill="1" applyAlignment="1" applyProtection="1">
      <alignment horizontal="left" vertical="top"/>
    </xf>
    <xf numFmtId="0" fontId="19" fillId="16" borderId="0" xfId="0" applyFont="1" applyFill="1" applyAlignment="1" applyProtection="1">
      <alignment vertical="top" wrapText="1"/>
    </xf>
    <xf numFmtId="0" fontId="19" fillId="4" borderId="0" xfId="0" applyFont="1" applyFill="1" applyAlignment="1" applyProtection="1">
      <alignment vertical="top" wrapText="1"/>
    </xf>
    <xf numFmtId="0" fontId="19" fillId="4" borderId="0" xfId="0" applyFont="1" applyFill="1" applyAlignment="1" applyProtection="1">
      <alignment horizontal="left" vertical="top" wrapText="1"/>
    </xf>
    <xf numFmtId="0" fontId="24" fillId="16" borderId="0" xfId="11" applyFont="1" applyFill="1" applyProtection="1"/>
    <xf numFmtId="0" fontId="27" fillId="16" borderId="0" xfId="0" applyFont="1" applyFill="1" applyProtection="1"/>
    <xf numFmtId="0" fontId="23" fillId="16" borderId="0" xfId="11" applyFont="1" applyFill="1" applyProtection="1"/>
    <xf numFmtId="0" fontId="29" fillId="5" borderId="0" xfId="11" applyFont="1" applyFill="1" applyProtection="1">
      <protection locked="0"/>
    </xf>
    <xf numFmtId="0" fontId="19" fillId="16" borderId="0" xfId="0" applyFont="1" applyFill="1" applyBorder="1" applyAlignment="1" applyProtection="1">
      <alignment horizontal="center" vertical="center" wrapText="1"/>
    </xf>
    <xf numFmtId="4" fontId="19" fillId="2" borderId="2" xfId="72" applyNumberFormat="1" applyFont="1" applyFill="1" applyBorder="1" applyAlignment="1" applyProtection="1">
      <alignment horizontal="center" vertical="center" wrapText="1"/>
      <protection locked="0"/>
    </xf>
    <xf numFmtId="3" fontId="15" fillId="2" borderId="2" xfId="0" applyNumberFormat="1" applyFont="1" applyFill="1" applyBorder="1" applyAlignment="1" applyProtection="1">
      <alignment horizontal="center" vertical="center"/>
      <protection locked="0"/>
    </xf>
    <xf numFmtId="0" fontId="15" fillId="2" borderId="2" xfId="0" applyFont="1" applyFill="1" applyBorder="1" applyAlignment="1" applyProtection="1">
      <alignment horizontal="left" vertical="top" wrapText="1"/>
      <protection locked="0"/>
    </xf>
    <xf numFmtId="9" fontId="19" fillId="16" borderId="0" xfId="0" applyNumberFormat="1" applyFont="1" applyFill="1" applyBorder="1" applyAlignment="1" applyProtection="1">
      <alignment horizontal="center" vertical="center" wrapText="1"/>
    </xf>
    <xf numFmtId="7" fontId="19" fillId="17" borderId="2" xfId="72" applyNumberFormat="1" applyFont="1" applyFill="1" applyBorder="1" applyAlignment="1" applyProtection="1">
      <alignment horizontal="right" vertical="center" wrapText="1"/>
      <protection locked="0"/>
    </xf>
    <xf numFmtId="0" fontId="15" fillId="2" borderId="2" xfId="0" applyNumberFormat="1" applyFont="1" applyFill="1" applyBorder="1" applyAlignment="1" applyProtection="1">
      <alignment horizontal="center" vertical="center"/>
      <protection locked="0"/>
    </xf>
    <xf numFmtId="0" fontId="15" fillId="5" borderId="0" xfId="0" applyFont="1" applyFill="1" applyAlignment="1" applyProtection="1">
      <alignment vertical="top" wrapText="1"/>
      <protection locked="0"/>
    </xf>
    <xf numFmtId="1" fontId="15" fillId="16" borderId="0" xfId="0" applyNumberFormat="1" applyFont="1" applyFill="1" applyProtection="1"/>
    <xf numFmtId="1" fontId="19" fillId="0" borderId="2" xfId="0" applyNumberFormat="1" applyFont="1" applyFill="1" applyBorder="1" applyAlignment="1" applyProtection="1">
      <alignment horizontal="right" vertical="center" wrapText="1"/>
    </xf>
    <xf numFmtId="0" fontId="15" fillId="0" borderId="0" xfId="0" applyNumberFormat="1" applyFont="1" applyAlignment="1">
      <alignment vertical="top" wrapText="1"/>
    </xf>
    <xf numFmtId="1" fontId="35" fillId="0" borderId="0" xfId="0" applyNumberFormat="1" applyFont="1" applyFill="1" applyAlignment="1">
      <alignment vertical="top" wrapText="1"/>
    </xf>
    <xf numFmtId="168" fontId="19" fillId="2" borderId="2" xfId="0" applyNumberFormat="1" applyFont="1" applyFill="1" applyBorder="1" applyAlignment="1" applyProtection="1">
      <alignment horizontal="right" vertical="center" wrapText="1"/>
      <protection locked="0"/>
    </xf>
    <xf numFmtId="0" fontId="15" fillId="0" borderId="0" xfId="0" applyFont="1" applyFill="1" applyAlignment="1" applyProtection="1">
      <alignment vertical="top" wrapText="1"/>
      <protection locked="0"/>
    </xf>
    <xf numFmtId="0" fontId="15" fillId="16" borderId="2" xfId="0" applyFont="1" applyFill="1" applyBorder="1" applyAlignment="1" applyProtection="1">
      <alignment horizontal="left" vertical="top" wrapText="1"/>
    </xf>
    <xf numFmtId="0" fontId="19" fillId="16" borderId="0" xfId="0" applyFont="1" applyFill="1" applyBorder="1" applyAlignment="1" applyProtection="1">
      <alignment horizontal="left" vertical="top"/>
    </xf>
    <xf numFmtId="0" fontId="16" fillId="16" borderId="0" xfId="0" applyFont="1" applyFill="1" applyBorder="1" applyAlignment="1" applyProtection="1">
      <alignment horizontal="left" vertical="top" wrapText="1"/>
    </xf>
    <xf numFmtId="0" fontId="15" fillId="16" borderId="0" xfId="0" applyFont="1" applyFill="1" applyBorder="1" applyAlignment="1" applyProtection="1">
      <alignment horizontal="left" vertical="top" wrapText="1"/>
    </xf>
    <xf numFmtId="0" fontId="20" fillId="16" borderId="0" xfId="0" applyFont="1" applyFill="1" applyBorder="1" applyAlignment="1" applyProtection="1">
      <alignment horizontal="left"/>
    </xf>
    <xf numFmtId="0" fontId="19" fillId="16" borderId="0" xfId="0" applyFont="1" applyFill="1" applyBorder="1" applyAlignment="1" applyProtection="1">
      <alignment horizontal="left"/>
    </xf>
    <xf numFmtId="0" fontId="3" fillId="5" borderId="0" xfId="11" applyFill="1" applyAlignment="1" applyProtection="1">
      <alignment horizontal="center"/>
      <protection locked="0"/>
    </xf>
    <xf numFmtId="0" fontId="11" fillId="16" borderId="0" xfId="0" applyFont="1" applyFill="1" applyAlignment="1" applyProtection="1">
      <alignment horizontal="center"/>
    </xf>
    <xf numFmtId="0" fontId="11" fillId="16" borderId="0" xfId="0" applyFont="1" applyFill="1" applyAlignment="1" applyProtection="1">
      <alignment horizontal="center" vertical="top"/>
    </xf>
    <xf numFmtId="0" fontId="17" fillId="0" borderId="0" xfId="0" applyFont="1" applyBorder="1" applyAlignment="1" applyProtection="1">
      <alignment horizontal="left" vertical="top" wrapText="1"/>
    </xf>
    <xf numFmtId="0" fontId="18" fillId="16" borderId="0" xfId="0" applyFont="1" applyFill="1" applyAlignment="1" applyProtection="1">
      <alignment horizontal="left" vertical="top" wrapText="1"/>
    </xf>
    <xf numFmtId="0" fontId="18" fillId="16" borderId="0" xfId="0" applyFont="1" applyFill="1" applyBorder="1" applyAlignment="1" applyProtection="1">
      <alignment horizontal="left" vertical="top" wrapText="1"/>
    </xf>
    <xf numFmtId="0" fontId="17" fillId="16" borderId="0" xfId="0" applyFont="1" applyFill="1" applyBorder="1" applyAlignment="1" applyProtection="1">
      <alignment horizontal="left" vertical="top" wrapText="1"/>
    </xf>
    <xf numFmtId="0" fontId="15" fillId="0" borderId="0" xfId="0" applyFont="1" applyAlignment="1" applyProtection="1">
      <alignment horizontal="left" vertical="top"/>
    </xf>
    <xf numFmtId="0" fontId="15" fillId="16" borderId="0" xfId="0" applyFont="1" applyFill="1" applyBorder="1" applyAlignment="1" applyProtection="1">
      <alignment horizontal="left" vertical="top"/>
    </xf>
    <xf numFmtId="0" fontId="16" fillId="16" borderId="0" xfId="0" applyFont="1" applyFill="1" applyBorder="1" applyAlignment="1" applyProtection="1">
      <alignment horizontal="left" vertical="top"/>
    </xf>
    <xf numFmtId="0" fontId="15" fillId="4" borderId="0" xfId="0" applyFont="1" applyFill="1" applyAlignment="1">
      <alignment horizontal="left" vertical="top" wrapText="1"/>
    </xf>
    <xf numFmtId="0" fontId="25" fillId="16" borderId="0" xfId="0" applyFont="1" applyFill="1" applyAlignment="1">
      <alignment horizontal="left" vertical="center"/>
    </xf>
    <xf numFmtId="0" fontId="11" fillId="16" borderId="0" xfId="0" applyFont="1" applyFill="1" applyAlignment="1">
      <alignment horizontal="center"/>
    </xf>
    <xf numFmtId="0" fontId="11" fillId="16" borderId="0" xfId="0" applyFont="1" applyFill="1" applyAlignment="1">
      <alignment horizontal="center" vertical="top"/>
    </xf>
    <xf numFmtId="0" fontId="18" fillId="16" borderId="0" xfId="0" applyFont="1" applyFill="1" applyAlignment="1">
      <alignment horizontal="left" vertical="top" wrapText="1"/>
    </xf>
    <xf numFmtId="0" fontId="19" fillId="4" borderId="0" xfId="0" applyFont="1" applyFill="1" applyBorder="1" applyAlignment="1">
      <alignment horizontal="left" vertical="top" wrapText="1"/>
    </xf>
    <xf numFmtId="0" fontId="25" fillId="16" borderId="0" xfId="0" applyFont="1" applyFill="1" applyAlignment="1">
      <alignment horizontal="left" vertical="top" wrapText="1"/>
    </xf>
    <xf numFmtId="0" fontId="15" fillId="2" borderId="4" xfId="0" applyFont="1" applyFill="1" applyBorder="1" applyAlignment="1" applyProtection="1">
      <alignment horizontal="left" vertical="top"/>
      <protection locked="0"/>
    </xf>
    <xf numFmtId="0" fontId="15" fillId="2" borderId="5" xfId="0" applyFont="1" applyFill="1" applyBorder="1" applyAlignment="1" applyProtection="1">
      <alignment horizontal="left" vertical="top"/>
      <protection locked="0"/>
    </xf>
    <xf numFmtId="0" fontId="15" fillId="2" borderId="3" xfId="0" applyFont="1" applyFill="1" applyBorder="1" applyAlignment="1" applyProtection="1">
      <alignment horizontal="left" vertical="top"/>
      <protection locked="0"/>
    </xf>
    <xf numFmtId="0" fontId="19" fillId="2" borderId="4"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21" fillId="16" borderId="0" xfId="0" applyFont="1" applyFill="1" applyAlignment="1">
      <alignment horizontal="left" vertical="center" wrapText="1"/>
    </xf>
    <xf numFmtId="0" fontId="19" fillId="4" borderId="0" xfId="0" applyFont="1" applyFill="1" applyAlignment="1">
      <alignment horizontal="left" vertical="top" wrapText="1"/>
    </xf>
    <xf numFmtId="0" fontId="15" fillId="16" borderId="4" xfId="0" applyFont="1" applyFill="1" applyBorder="1" applyAlignment="1">
      <alignment horizontal="left" vertical="top" wrapText="1"/>
    </xf>
    <xf numFmtId="0" fontId="15" fillId="16" borderId="5" xfId="0" applyFont="1" applyFill="1" applyBorder="1" applyAlignment="1">
      <alignment horizontal="left" vertical="top" wrapText="1"/>
    </xf>
    <xf numFmtId="0" fontId="15" fillId="16" borderId="3" xfId="0" applyFont="1" applyFill="1" applyBorder="1" applyAlignment="1">
      <alignment horizontal="left" vertical="top" wrapText="1"/>
    </xf>
    <xf numFmtId="0" fontId="25" fillId="16" borderId="0" xfId="0" applyFont="1" applyFill="1" applyAlignment="1">
      <alignment horizontal="left" vertical="center" wrapText="1"/>
    </xf>
    <xf numFmtId="0" fontId="19" fillId="16" borderId="0" xfId="0" applyFont="1" applyFill="1" applyAlignment="1">
      <alignment horizontal="left" vertical="top" wrapText="1"/>
    </xf>
    <xf numFmtId="0" fontId="16" fillId="16" borderId="0" xfId="0" applyFont="1" applyFill="1" applyAlignment="1">
      <alignment horizontal="center"/>
    </xf>
    <xf numFmtId="0" fontId="16" fillId="16" borderId="0" xfId="0" applyFont="1" applyFill="1" applyAlignment="1">
      <alignment horizontal="center" vertical="top"/>
    </xf>
    <xf numFmtId="9" fontId="19" fillId="16" borderId="0" xfId="0" applyNumberFormat="1" applyFont="1" applyFill="1" applyBorder="1" applyAlignment="1">
      <alignment horizontal="left" vertical="center" wrapText="1"/>
    </xf>
    <xf numFmtId="0" fontId="25" fillId="16" borderId="0" xfId="0" applyFont="1" applyFill="1" applyAlignment="1">
      <alignment horizontal="left" vertical="top"/>
    </xf>
    <xf numFmtId="0" fontId="19" fillId="16" borderId="0" xfId="0" applyFont="1" applyFill="1" applyBorder="1" applyAlignment="1">
      <alignment horizontal="left" vertical="top" wrapText="1"/>
    </xf>
    <xf numFmtId="0" fontId="18" fillId="2" borderId="4" xfId="0" applyFont="1" applyFill="1" applyBorder="1" applyAlignment="1" applyProtection="1">
      <alignment horizontal="left" vertical="top" wrapText="1"/>
      <protection locked="0"/>
    </xf>
    <xf numFmtId="0" fontId="18" fillId="2" borderId="5" xfId="0" applyFont="1" applyFill="1" applyBorder="1" applyAlignment="1" applyProtection="1">
      <alignment horizontal="left" vertical="top" wrapText="1"/>
      <protection locked="0"/>
    </xf>
    <xf numFmtId="0" fontId="18" fillId="2" borderId="3" xfId="0" applyFont="1" applyFill="1" applyBorder="1" applyAlignment="1" applyProtection="1">
      <alignment horizontal="left" vertical="top" wrapText="1"/>
      <protection locked="0"/>
    </xf>
    <xf numFmtId="0" fontId="16" fillId="16" borderId="0" xfId="0" applyFont="1" applyFill="1" applyAlignment="1">
      <alignment horizontal="left" vertical="top" wrapText="1"/>
    </xf>
    <xf numFmtId="165" fontId="15" fillId="4" borderId="0" xfId="0" applyNumberFormat="1" applyFont="1" applyFill="1" applyBorder="1" applyAlignment="1">
      <alignment horizontal="left" vertical="top" wrapText="1"/>
    </xf>
    <xf numFmtId="0" fontId="25" fillId="16" borderId="0" xfId="0" applyFont="1" applyFill="1" applyAlignment="1" applyProtection="1">
      <alignment horizontal="left" vertical="top" wrapText="1"/>
    </xf>
    <xf numFmtId="0" fontId="19" fillId="4" borderId="0" xfId="0" applyFont="1" applyFill="1" applyAlignment="1" applyProtection="1">
      <alignment horizontal="left" vertical="top" wrapText="1"/>
    </xf>
    <xf numFmtId="0" fontId="14" fillId="16" borderId="0" xfId="0" applyFont="1" applyFill="1" applyAlignment="1">
      <alignment horizontal="center"/>
    </xf>
    <xf numFmtId="0" fontId="15" fillId="2" borderId="4" xfId="0" applyNumberFormat="1" applyFont="1" applyFill="1" applyBorder="1" applyAlignment="1" applyProtection="1">
      <alignment horizontal="left" vertical="top" wrapText="1"/>
      <protection locked="0"/>
    </xf>
    <xf numFmtId="0" fontId="15" fillId="2" borderId="5" xfId="0" applyNumberFormat="1" applyFont="1" applyFill="1" applyBorder="1" applyAlignment="1" applyProtection="1">
      <alignment horizontal="left" vertical="top" wrapText="1"/>
      <protection locked="0"/>
    </xf>
    <xf numFmtId="0" fontId="15" fillId="2" borderId="3" xfId="0" applyNumberFormat="1" applyFont="1" applyFill="1" applyBorder="1" applyAlignment="1" applyProtection="1">
      <alignment horizontal="left" vertical="top" wrapText="1"/>
      <protection locked="0"/>
    </xf>
    <xf numFmtId="0" fontId="18" fillId="4" borderId="0" xfId="0" applyFont="1" applyFill="1" applyAlignment="1">
      <alignment horizontal="left" vertical="center" wrapText="1"/>
    </xf>
    <xf numFmtId="0" fontId="18" fillId="16" borderId="0" xfId="0" applyFont="1" applyFill="1" applyAlignment="1">
      <alignment horizontal="left" vertical="center" wrapText="1"/>
    </xf>
    <xf numFmtId="0" fontId="19" fillId="4" borderId="0" xfId="0" applyFont="1" applyFill="1" applyAlignment="1">
      <alignment vertical="top" wrapText="1"/>
    </xf>
    <xf numFmtId="0" fontId="15" fillId="16" borderId="0" xfId="0" applyFont="1" applyFill="1" applyAlignment="1">
      <alignment horizontal="left" vertical="top" wrapText="1"/>
    </xf>
    <xf numFmtId="0" fontId="18" fillId="4" borderId="0" xfId="0" applyFont="1" applyFill="1" applyAlignment="1">
      <alignment horizontal="left" vertical="top" wrapText="1"/>
    </xf>
    <xf numFmtId="0" fontId="11" fillId="0" borderId="0" xfId="0" applyFont="1" applyAlignment="1">
      <alignment horizontal="center"/>
    </xf>
  </cellXfs>
  <cellStyles count="1457">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3" builtinId="9" hidden="1"/>
    <cellStyle name="Besuchter Hyperlink" xfId="14" builtinId="9" hidden="1"/>
    <cellStyle name="Besuchter Hyperlink" xfId="15" builtinId="9" hidden="1"/>
    <cellStyle name="Besuchter Hyperlink" xfId="16" builtinId="9" hidden="1"/>
    <cellStyle name="Besuchter Hyperlink" xfId="17"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Besuchter Hyperlink" xfId="23" builtinId="9" hidden="1"/>
    <cellStyle name="Besuchter Hyperlink" xfId="24" builtinId="9" hidden="1"/>
    <cellStyle name="Besuchter Hyperlink" xfId="25" builtinId="9" hidden="1"/>
    <cellStyle name="Besuchter Hyperlink" xfId="26" builtinId="9" hidden="1"/>
    <cellStyle name="Besuchter Hyperlink" xfId="27" builtinId="9" hidden="1"/>
    <cellStyle name="Besuchter Hyperlink" xfId="28" builtinId="9" hidden="1"/>
    <cellStyle name="Besuchter Hyperlink" xfId="29" builtinId="9" hidden="1"/>
    <cellStyle name="Besuchter Hyperlink" xfId="30" builtinId="9" hidden="1"/>
    <cellStyle name="Besuchter Hyperlink" xfId="31" builtinId="9" hidden="1"/>
    <cellStyle name="Besuchter Hyperlink" xfId="32" builtinId="9" hidden="1"/>
    <cellStyle name="Besuchter Hyperlink" xfId="33" builtinId="9" hidden="1"/>
    <cellStyle name="Besuchter Hyperlink" xfId="34" builtinId="9" hidden="1"/>
    <cellStyle name="Besuchter Hyperlink" xfId="35" builtinId="9" hidden="1"/>
    <cellStyle name="Besuchter Hyperlink" xfId="36" builtinId="9" hidden="1"/>
    <cellStyle name="Besuchter Hyperlink" xfId="37" builtinId="9" hidden="1"/>
    <cellStyle name="Besuchter Hyperlink" xfId="38" builtinId="9" hidden="1"/>
    <cellStyle name="Besuchter Hyperlink" xfId="39" builtinId="9" hidden="1"/>
    <cellStyle name="Besuchter Hyperlink" xfId="40" builtinId="9" hidden="1"/>
    <cellStyle name="Besuchter Hyperlink" xfId="41" builtinId="9" hidden="1"/>
    <cellStyle name="Besuchter Hyperlink" xfId="42" builtinId="9" hidden="1"/>
    <cellStyle name="Besuchter Hyperlink" xfId="43" builtinId="9" hidden="1"/>
    <cellStyle name="Besuchter Hyperlink" xfId="44" builtinId="9" hidden="1"/>
    <cellStyle name="Besuchter Hyperlink" xfId="45" builtinId="9" hidden="1"/>
    <cellStyle name="Besuchter Hyperlink" xfId="46" builtinId="9" hidden="1"/>
    <cellStyle name="Besuchter Hyperlink" xfId="47" builtinId="9" hidden="1"/>
    <cellStyle name="Besuchter Hyperlink" xfId="48" builtinId="9" hidden="1"/>
    <cellStyle name="Besuchter Hyperlink" xfId="49" builtinId="9" hidden="1"/>
    <cellStyle name="Besuchter Hyperlink" xfId="50" builtinId="9" hidden="1"/>
    <cellStyle name="Besuchter Hyperlink" xfId="51" builtinId="9" hidden="1"/>
    <cellStyle name="Besuchter Hyperlink" xfId="52" builtinId="9" hidden="1"/>
    <cellStyle name="Besuchter Hyperlink" xfId="53" builtinId="9" hidden="1"/>
    <cellStyle name="Besuchter Hyperlink" xfId="54" builtinId="9" hidden="1"/>
    <cellStyle name="Besuchter Hyperlink" xfId="55" builtinId="9" hidden="1"/>
    <cellStyle name="Besuchter Hyperlink" xfId="56" builtinId="9" hidden="1"/>
    <cellStyle name="Besuchter Hyperlink" xfId="57" builtinId="9" hidden="1"/>
    <cellStyle name="Besuchter Hyperlink" xfId="58" builtinId="9" hidden="1"/>
    <cellStyle name="Besuchter Hyperlink" xfId="59" builtinId="9" hidden="1"/>
    <cellStyle name="Besuchter Hyperlink" xfId="60" builtinId="9" hidden="1"/>
    <cellStyle name="Besuchter Hyperlink" xfId="61" builtinId="9" hidden="1"/>
    <cellStyle name="Besuchter Hyperlink" xfId="62" builtinId="9" hidden="1"/>
    <cellStyle name="Besuchter Hyperlink" xfId="63" builtinId="9" hidden="1"/>
    <cellStyle name="Besuchter Hyperlink" xfId="64" builtinId="9" hidden="1"/>
    <cellStyle name="Besuchter Hyperlink" xfId="65" builtinId="9" hidden="1"/>
    <cellStyle name="Besuchter Hyperlink" xfId="66" builtinId="9" hidden="1"/>
    <cellStyle name="Besuchter Hyperlink" xfId="67" builtinId="9" hidden="1"/>
    <cellStyle name="Besuchter Hyperlink" xfId="68" builtinId="9" hidden="1"/>
    <cellStyle name="Besuchter Hyperlink" xfId="69" builtinId="9" hidden="1"/>
    <cellStyle name="Besuchter Hyperlink" xfId="70" builtinId="9" hidden="1"/>
    <cellStyle name="Besuchter Hyperlink" xfId="71" builtinId="9" hidden="1"/>
    <cellStyle name="Besuchter Hyperlink" xfId="74" builtinId="9" hidden="1"/>
    <cellStyle name="Besuchter Hyperlink" xfId="75" builtinId="9" hidden="1"/>
    <cellStyle name="Besuchter Hyperlink" xfId="76" builtinId="9" hidden="1"/>
    <cellStyle name="Besuchter Hyperlink" xfId="77" builtinId="9" hidden="1"/>
    <cellStyle name="Besuchter Hyperlink" xfId="78" builtinId="9" hidden="1"/>
    <cellStyle name="Besuchter Hyperlink" xfId="79" builtinId="9" hidden="1"/>
    <cellStyle name="Besuchter Hyperlink" xfId="80" builtinId="9" hidden="1"/>
    <cellStyle name="Besuchter Hyperlink" xfId="81" builtinId="9" hidden="1"/>
    <cellStyle name="Besuchter Hyperlink" xfId="82" builtinId="9" hidden="1"/>
    <cellStyle name="Besuchter Hyperlink" xfId="83" builtinId="9" hidden="1"/>
    <cellStyle name="Besuchter Hyperlink" xfId="84" builtinId="9" hidden="1"/>
    <cellStyle name="Besuchter Hyperlink" xfId="85" builtinId="9" hidden="1"/>
    <cellStyle name="Besuchter Hyperlink" xfId="86" builtinId="9" hidden="1"/>
    <cellStyle name="Besuchter Hyperlink" xfId="87" builtinId="9" hidden="1"/>
    <cellStyle name="Besuchter Hyperlink" xfId="88" builtinId="9" hidden="1"/>
    <cellStyle name="Besuchter Hyperlink" xfId="89" builtinId="9" hidden="1"/>
    <cellStyle name="Besuchter Hyperlink" xfId="90" builtinId="9" hidden="1"/>
    <cellStyle name="Besuchter Hyperlink" xfId="91" builtinId="9" hidden="1"/>
    <cellStyle name="Besuchter Hyperlink" xfId="92" builtinId="9" hidden="1"/>
    <cellStyle name="Besuchter Hyperlink" xfId="93" builtinId="9" hidden="1"/>
    <cellStyle name="Besuchter Hyperlink" xfId="94" builtinId="9" hidden="1"/>
    <cellStyle name="Besuchter Hyperlink" xfId="95" builtinId="9" hidden="1"/>
    <cellStyle name="Besuchter Hyperlink" xfId="96" builtinId="9" hidden="1"/>
    <cellStyle name="Besuchter Hyperlink" xfId="97" builtinId="9" hidden="1"/>
    <cellStyle name="Besuchter Hyperlink" xfId="98" builtinId="9" hidden="1"/>
    <cellStyle name="Besuchter Hyperlink" xfId="99" builtinId="9" hidden="1"/>
    <cellStyle name="Besuchter Hyperlink" xfId="100" builtinId="9" hidden="1"/>
    <cellStyle name="Besuchter Hyperlink" xfId="101" builtinId="9" hidden="1"/>
    <cellStyle name="Besuchter Hyperlink" xfId="102" builtinId="9" hidden="1"/>
    <cellStyle name="Besuchter Hyperlink" xfId="103" builtinId="9" hidden="1"/>
    <cellStyle name="Besuchter Hyperlink" xfId="104" builtinId="9" hidden="1"/>
    <cellStyle name="Besuchter Hyperlink" xfId="105" builtinId="9" hidden="1"/>
    <cellStyle name="Besuchter Hyperlink" xfId="106" builtinId="9" hidden="1"/>
    <cellStyle name="Besuchter Hyperlink" xfId="107" builtinId="9" hidden="1"/>
    <cellStyle name="Besuchter Hyperlink" xfId="108" builtinId="9" hidden="1"/>
    <cellStyle name="Besuchter Hyperlink" xfId="109" builtinId="9" hidden="1"/>
    <cellStyle name="Besuchter Hyperlink" xfId="110" builtinId="9" hidden="1"/>
    <cellStyle name="Besuchter Hyperlink" xfId="111" builtinId="9" hidden="1"/>
    <cellStyle name="Besuchter Hyperlink" xfId="112" builtinId="9" hidden="1"/>
    <cellStyle name="Besuchter Hyperlink" xfId="113" builtinId="9" hidden="1"/>
    <cellStyle name="Besuchter Hyperlink" xfId="114" builtinId="9" hidden="1"/>
    <cellStyle name="Besuchter Hyperlink" xfId="115" builtinId="9" hidden="1"/>
    <cellStyle name="Besuchter Hyperlink" xfId="116" builtinId="9" hidden="1"/>
    <cellStyle name="Besuchter Hyperlink" xfId="117" builtinId="9" hidden="1"/>
    <cellStyle name="Besuchter Hyperlink" xfId="118" builtinId="9" hidden="1"/>
    <cellStyle name="Besuchter Hyperlink" xfId="119" builtinId="9" hidden="1"/>
    <cellStyle name="Besuchter Hyperlink" xfId="120" builtinId="9" hidden="1"/>
    <cellStyle name="Besuchter Hyperlink" xfId="121" builtinId="9" hidden="1"/>
    <cellStyle name="Besuchter Hyperlink" xfId="122" builtinId="9" hidden="1"/>
    <cellStyle name="Besuchter Hyperlink" xfId="123" builtinId="9" hidden="1"/>
    <cellStyle name="Besuchter Hyperlink" xfId="124" builtinId="9" hidden="1"/>
    <cellStyle name="Besuchter Hyperlink" xfId="125" builtinId="9" hidden="1"/>
    <cellStyle name="Besuchter Hyperlink" xfId="126" builtinId="9" hidden="1"/>
    <cellStyle name="Besuchter Hyperlink" xfId="127" builtinId="9" hidden="1"/>
    <cellStyle name="Besuchter Hyperlink" xfId="128" builtinId="9" hidden="1"/>
    <cellStyle name="Besuchter Hyperlink" xfId="129" builtinId="9" hidden="1"/>
    <cellStyle name="Besuchter Hyperlink" xfId="130" builtinId="9" hidden="1"/>
    <cellStyle name="Besuchter Hyperlink" xfId="131" builtinId="9" hidden="1"/>
    <cellStyle name="Besuchter Hyperlink" xfId="132" builtinId="9" hidden="1"/>
    <cellStyle name="Besuchter Hyperlink" xfId="133" builtinId="9" hidden="1"/>
    <cellStyle name="Besuchter Hyperlink" xfId="134" builtinId="9" hidden="1"/>
    <cellStyle name="Besuchter Hyperlink" xfId="135" builtinId="9" hidden="1"/>
    <cellStyle name="Besuchter Hyperlink" xfId="136" builtinId="9" hidden="1"/>
    <cellStyle name="Besuchter Hyperlink" xfId="137" builtinId="9" hidden="1"/>
    <cellStyle name="Besuchter Hyperlink" xfId="138" builtinId="9" hidden="1"/>
    <cellStyle name="Besuchter Hyperlink" xfId="139" builtinId="9" hidden="1"/>
    <cellStyle name="Besuchter Hyperlink" xfId="140" builtinId="9" hidden="1"/>
    <cellStyle name="Besuchter Hyperlink" xfId="141" builtinId="9" hidden="1"/>
    <cellStyle name="Besuchter Hyperlink" xfId="142" builtinId="9" hidden="1"/>
    <cellStyle name="Besuchter Hyperlink" xfId="143" builtinId="9" hidden="1"/>
    <cellStyle name="Besuchter Hyperlink" xfId="144" builtinId="9" hidden="1"/>
    <cellStyle name="Besuchter Hyperlink" xfId="145" builtinId="9" hidden="1"/>
    <cellStyle name="Besuchter Hyperlink" xfId="146" builtinId="9" hidden="1"/>
    <cellStyle name="Besuchter Hyperlink" xfId="147" builtinId="9" hidden="1"/>
    <cellStyle name="Besuchter Hyperlink" xfId="148" builtinId="9" hidden="1"/>
    <cellStyle name="Besuchter Hyperlink" xfId="149" builtinId="9" hidden="1"/>
    <cellStyle name="Besuchter Hyperlink" xfId="150" builtinId="9" hidden="1"/>
    <cellStyle name="Besuchter Hyperlink" xfId="151" builtinId="9" hidden="1"/>
    <cellStyle name="Besuchter Hyperlink" xfId="152" builtinId="9" hidden="1"/>
    <cellStyle name="Besuchter Hyperlink" xfId="153" builtinId="9" hidden="1"/>
    <cellStyle name="Besuchter Hyperlink" xfId="154" builtinId="9" hidden="1"/>
    <cellStyle name="Besuchter Hyperlink" xfId="155" builtinId="9" hidden="1"/>
    <cellStyle name="Besuchter Hyperlink" xfId="156" builtinId="9" hidden="1"/>
    <cellStyle name="Besuchter Hyperlink" xfId="157" builtinId="9" hidden="1"/>
    <cellStyle name="Besuchter Hyperlink" xfId="158" builtinId="9" hidden="1"/>
    <cellStyle name="Besuchter Hyperlink" xfId="159" builtinId="9" hidden="1"/>
    <cellStyle name="Besuchter Hyperlink" xfId="160" builtinId="9" hidden="1"/>
    <cellStyle name="Besuchter Hyperlink" xfId="161" builtinId="9" hidden="1"/>
    <cellStyle name="Besuchter Hyperlink" xfId="162" builtinId="9" hidden="1"/>
    <cellStyle name="Besuchter Hyperlink" xfId="163" builtinId="9" hidden="1"/>
    <cellStyle name="Besuchter Hyperlink" xfId="164" builtinId="9" hidden="1"/>
    <cellStyle name="Besuchter Hyperlink" xfId="165" builtinId="9" hidden="1"/>
    <cellStyle name="Besuchter Hyperlink" xfId="166" builtinId="9" hidden="1"/>
    <cellStyle name="Besuchter Hyperlink" xfId="167" builtinId="9" hidden="1"/>
    <cellStyle name="Besuchter Hyperlink" xfId="168" builtinId="9" hidden="1"/>
    <cellStyle name="Besuchter Hyperlink" xfId="169" builtinId="9" hidden="1"/>
    <cellStyle name="Besuchter Hyperlink" xfId="170" builtinId="9" hidden="1"/>
    <cellStyle name="Besuchter Hyperlink" xfId="171" builtinId="9" hidden="1"/>
    <cellStyle name="Besuchter Hyperlink" xfId="172" builtinId="9" hidden="1"/>
    <cellStyle name="Besuchter Hyperlink" xfId="173" builtinId="9" hidden="1"/>
    <cellStyle name="Besuchter Hyperlink" xfId="174" builtinId="9" hidden="1"/>
    <cellStyle name="Besuchter Hyperlink" xfId="175" builtinId="9" hidden="1"/>
    <cellStyle name="Besuchter Hyperlink" xfId="176" builtinId="9" hidden="1"/>
    <cellStyle name="Besuchter Hyperlink" xfId="177" builtinId="9" hidden="1"/>
    <cellStyle name="Besuchter Hyperlink" xfId="178" builtinId="9" hidden="1"/>
    <cellStyle name="Besuchter Hyperlink" xfId="179" builtinId="9" hidden="1"/>
    <cellStyle name="Besuchter Hyperlink" xfId="180" builtinId="9" hidden="1"/>
    <cellStyle name="Besuchter Hyperlink" xfId="181" builtinId="9" hidden="1"/>
    <cellStyle name="Besuchter Hyperlink" xfId="182" builtinId="9" hidden="1"/>
    <cellStyle name="Besuchter Hyperlink" xfId="183" builtinId="9" hidden="1"/>
    <cellStyle name="Besuchter Hyperlink" xfId="184" builtinId="9" hidden="1"/>
    <cellStyle name="Besuchter Hyperlink" xfId="185" builtinId="9" hidden="1"/>
    <cellStyle name="Besuchter Hyperlink" xfId="186" builtinId="9" hidden="1"/>
    <cellStyle name="Besuchter Hyperlink" xfId="187" builtinId="9" hidden="1"/>
    <cellStyle name="Besuchter Hyperlink" xfId="188" builtinId="9" hidden="1"/>
    <cellStyle name="Besuchter Hyperlink" xfId="189" builtinId="9" hidden="1"/>
    <cellStyle name="Besuchter Hyperlink" xfId="190" builtinId="9" hidden="1"/>
    <cellStyle name="Besuchter Hyperlink" xfId="191" builtinId="9" hidden="1"/>
    <cellStyle name="Besuchter Hyperlink" xfId="192" builtinId="9" hidden="1"/>
    <cellStyle name="Besuchter Hyperlink" xfId="193" builtinId="9" hidden="1"/>
    <cellStyle name="Besuchter Hyperlink" xfId="194" builtinId="9" hidden="1"/>
    <cellStyle name="Besuchter Hyperlink" xfId="195" builtinId="9" hidden="1"/>
    <cellStyle name="Besuchter Hyperlink" xfId="196" builtinId="9" hidden="1"/>
    <cellStyle name="Besuchter Hyperlink" xfId="197" builtinId="9" hidden="1"/>
    <cellStyle name="Besuchter Hyperlink" xfId="198" builtinId="9" hidden="1"/>
    <cellStyle name="Besuchter Hyperlink" xfId="199" builtinId="9" hidden="1"/>
    <cellStyle name="Besuchter Hyperlink" xfId="200" builtinId="9" hidden="1"/>
    <cellStyle name="Besuchter Hyperlink" xfId="201" builtinId="9" hidden="1"/>
    <cellStyle name="Besuchter Hyperlink" xfId="202" builtinId="9" hidden="1"/>
    <cellStyle name="Besuchter Hyperlink" xfId="203" builtinId="9" hidden="1"/>
    <cellStyle name="Besuchter Hyperlink" xfId="204" builtinId="9" hidden="1"/>
    <cellStyle name="Besuchter Hyperlink" xfId="205" builtinId="9" hidden="1"/>
    <cellStyle name="Besuchter Hyperlink" xfId="206" builtinId="9" hidden="1"/>
    <cellStyle name="Besuchter Hyperlink" xfId="207" builtinId="9" hidden="1"/>
    <cellStyle name="Besuchter Hyperlink" xfId="208" builtinId="9" hidden="1"/>
    <cellStyle name="Besuchter Hyperlink" xfId="209" builtinId="9" hidden="1"/>
    <cellStyle name="Besuchter Hyperlink" xfId="210" builtinId="9" hidden="1"/>
    <cellStyle name="Besuchter Hyperlink" xfId="211" builtinId="9" hidden="1"/>
    <cellStyle name="Besuchter Hyperlink" xfId="212" builtinId="9" hidden="1"/>
    <cellStyle name="Besuchter Hyperlink" xfId="213" builtinId="9" hidden="1"/>
    <cellStyle name="Besuchter Hyperlink" xfId="214" builtinId="9" hidden="1"/>
    <cellStyle name="Besuchter Hyperlink" xfId="215" builtinId="9" hidden="1"/>
    <cellStyle name="Besuchter Hyperlink" xfId="216" builtinId="9" hidden="1"/>
    <cellStyle name="Besuchter Hyperlink" xfId="217" builtinId="9" hidden="1"/>
    <cellStyle name="Besuchter Hyperlink" xfId="218" builtinId="9" hidden="1"/>
    <cellStyle name="Besuchter Hyperlink" xfId="219" builtinId="9" hidden="1"/>
    <cellStyle name="Besuchter Hyperlink" xfId="220" builtinId="9" hidden="1"/>
    <cellStyle name="Besuchter Hyperlink" xfId="221" builtinId="9" hidden="1"/>
    <cellStyle name="Besuchter Hyperlink" xfId="222" builtinId="9" hidden="1"/>
    <cellStyle name="Besuchter Hyperlink" xfId="223" builtinId="9" hidden="1"/>
    <cellStyle name="Besuchter Hyperlink" xfId="224" builtinId="9" hidden="1"/>
    <cellStyle name="Besuchter Hyperlink" xfId="225" builtinId="9" hidden="1"/>
    <cellStyle name="Besuchter Hyperlink" xfId="226" builtinId="9" hidden="1"/>
    <cellStyle name="Besuchter Hyperlink" xfId="227" builtinId="9" hidden="1"/>
    <cellStyle name="Besuchter Hyperlink" xfId="228" builtinId="9" hidden="1"/>
    <cellStyle name="Besuchter Hyperlink" xfId="229" builtinId="9" hidden="1"/>
    <cellStyle name="Besuchter Hyperlink" xfId="230" builtinId="9" hidden="1"/>
    <cellStyle name="Besuchter Hyperlink" xfId="231" builtinId="9" hidden="1"/>
    <cellStyle name="Besuchter Hyperlink" xfId="232" builtinId="9" hidden="1"/>
    <cellStyle name="Besuchter Hyperlink" xfId="233" builtinId="9" hidden="1"/>
    <cellStyle name="Besuchter Hyperlink" xfId="234" builtinId="9" hidden="1"/>
    <cellStyle name="Besuchter Hyperlink" xfId="235" builtinId="9" hidden="1"/>
    <cellStyle name="Besuchter Hyperlink" xfId="236" builtinId="9" hidden="1"/>
    <cellStyle name="Besuchter Hyperlink" xfId="237" builtinId="9" hidden="1"/>
    <cellStyle name="Besuchter Hyperlink" xfId="238" builtinId="9" hidden="1"/>
    <cellStyle name="Besuchter Hyperlink" xfId="239" builtinId="9" hidden="1"/>
    <cellStyle name="Besuchter Hyperlink" xfId="240" builtinId="9" hidden="1"/>
    <cellStyle name="Besuchter Hyperlink" xfId="241" builtinId="9" hidden="1"/>
    <cellStyle name="Besuchter Hyperlink" xfId="242" builtinId="9" hidden="1"/>
    <cellStyle name="Besuchter Hyperlink" xfId="243" builtinId="9" hidden="1"/>
    <cellStyle name="Besuchter Hyperlink" xfId="244" builtinId="9" hidden="1"/>
    <cellStyle name="Besuchter Hyperlink" xfId="245" builtinId="9" hidden="1"/>
    <cellStyle name="Besuchter Hyperlink" xfId="246" builtinId="9" hidden="1"/>
    <cellStyle name="Besuchter Hyperlink" xfId="247" builtinId="9" hidden="1"/>
    <cellStyle name="Besuchter Hyperlink" xfId="248" builtinId="9" hidden="1"/>
    <cellStyle name="Besuchter Hyperlink" xfId="249" builtinId="9" hidden="1"/>
    <cellStyle name="Besuchter Hyperlink" xfId="250" builtinId="9" hidden="1"/>
    <cellStyle name="Besuchter Hyperlink" xfId="251" builtinId="9" hidden="1"/>
    <cellStyle name="Besuchter Hyperlink" xfId="252" builtinId="9" hidden="1"/>
    <cellStyle name="Besuchter Hyperlink" xfId="253" builtinId="9" hidden="1"/>
    <cellStyle name="Besuchter Hyperlink" xfId="254" builtinId="9" hidden="1"/>
    <cellStyle name="Besuchter Hyperlink" xfId="255" builtinId="9" hidden="1"/>
    <cellStyle name="Besuchter Hyperlink" xfId="256" builtinId="9" hidden="1"/>
    <cellStyle name="Besuchter Hyperlink" xfId="257" builtinId="9" hidden="1"/>
    <cellStyle name="Besuchter Hyperlink" xfId="258" builtinId="9" hidden="1"/>
    <cellStyle name="Besuchter Hyperlink" xfId="259" builtinId="9" hidden="1"/>
    <cellStyle name="Besuchter Hyperlink" xfId="260" builtinId="9" hidden="1"/>
    <cellStyle name="Besuchter Hyperlink" xfId="261" builtinId="9" hidden="1"/>
    <cellStyle name="Besuchter Hyperlink" xfId="262" builtinId="9" hidden="1"/>
    <cellStyle name="Besuchter Hyperlink" xfId="263" builtinId="9" hidden="1"/>
    <cellStyle name="Besuchter Hyperlink" xfId="264" builtinId="9" hidden="1"/>
    <cellStyle name="Besuchter Hyperlink" xfId="265" builtinId="9" hidden="1"/>
    <cellStyle name="Besuchter Hyperlink" xfId="266" builtinId="9" hidden="1"/>
    <cellStyle name="Besuchter Hyperlink" xfId="267" builtinId="9" hidden="1"/>
    <cellStyle name="Besuchter Hyperlink" xfId="268" builtinId="9" hidden="1"/>
    <cellStyle name="Besuchter Hyperlink" xfId="269" builtinId="9" hidden="1"/>
    <cellStyle name="Besuchter Hyperlink" xfId="270" builtinId="9" hidden="1"/>
    <cellStyle name="Besuchter Hyperlink" xfId="271" builtinId="9" hidden="1"/>
    <cellStyle name="Besuchter Hyperlink" xfId="272" builtinId="9" hidden="1"/>
    <cellStyle name="Besuchter Hyperlink" xfId="273" builtinId="9" hidden="1"/>
    <cellStyle name="Besuchter Hyperlink" xfId="274" builtinId="9" hidden="1"/>
    <cellStyle name="Besuchter Hyperlink" xfId="275" builtinId="9" hidden="1"/>
    <cellStyle name="Besuchter Hyperlink" xfId="276" builtinId="9" hidden="1"/>
    <cellStyle name="Besuchter Hyperlink" xfId="277" builtinId="9" hidden="1"/>
    <cellStyle name="Besuchter Hyperlink" xfId="278" builtinId="9" hidden="1"/>
    <cellStyle name="Besuchter Hyperlink" xfId="279" builtinId="9" hidden="1"/>
    <cellStyle name="Besuchter Hyperlink" xfId="280" builtinId="9" hidden="1"/>
    <cellStyle name="Besuchter Hyperlink" xfId="281" builtinId="9" hidden="1"/>
    <cellStyle name="Besuchter Hyperlink" xfId="282" builtinId="9" hidden="1"/>
    <cellStyle name="Besuchter Hyperlink" xfId="283" builtinId="9" hidden="1"/>
    <cellStyle name="Besuchter Hyperlink" xfId="284" builtinId="9" hidden="1"/>
    <cellStyle name="Besuchter Hyperlink" xfId="285" builtinId="9" hidden="1"/>
    <cellStyle name="Besuchter Hyperlink" xfId="286" builtinId="9" hidden="1"/>
    <cellStyle name="Besuchter Hyperlink" xfId="287" builtinId="9" hidden="1"/>
    <cellStyle name="Besuchter Hyperlink" xfId="288" builtinId="9" hidden="1"/>
    <cellStyle name="Besuchter Hyperlink" xfId="289" builtinId="9" hidden="1"/>
    <cellStyle name="Besuchter Hyperlink" xfId="290" builtinId="9" hidden="1"/>
    <cellStyle name="Besuchter Hyperlink" xfId="291" builtinId="9" hidden="1"/>
    <cellStyle name="Besuchter Hyperlink" xfId="292" builtinId="9" hidden="1"/>
    <cellStyle name="Besuchter Hyperlink" xfId="293" builtinId="9" hidden="1"/>
    <cellStyle name="Besuchter Hyperlink" xfId="294" builtinId="9" hidden="1"/>
    <cellStyle name="Besuchter Hyperlink" xfId="295" builtinId="9" hidden="1"/>
    <cellStyle name="Besuchter Hyperlink" xfId="296" builtinId="9" hidden="1"/>
    <cellStyle name="Besuchter Hyperlink" xfId="297" builtinId="9" hidden="1"/>
    <cellStyle name="Besuchter Hyperlink" xfId="298" builtinId="9" hidden="1"/>
    <cellStyle name="Besuchter Hyperlink" xfId="299" builtinId="9" hidden="1"/>
    <cellStyle name="Besuchter Hyperlink" xfId="300" builtinId="9" hidden="1"/>
    <cellStyle name="Besuchter Hyperlink" xfId="301" builtinId="9" hidden="1"/>
    <cellStyle name="Besuchter Hyperlink" xfId="302" builtinId="9" hidden="1"/>
    <cellStyle name="Besuchter Hyperlink" xfId="303" builtinId="9" hidden="1"/>
    <cellStyle name="Besuchter Hyperlink" xfId="304" builtinId="9" hidden="1"/>
    <cellStyle name="Besuchter Hyperlink" xfId="305" builtinId="9" hidden="1"/>
    <cellStyle name="Besuchter Hyperlink" xfId="306" builtinId="9" hidden="1"/>
    <cellStyle name="Besuchter Hyperlink" xfId="307" builtinId="9" hidden="1"/>
    <cellStyle name="Besuchter Hyperlink" xfId="308" builtinId="9" hidden="1"/>
    <cellStyle name="Besuchter Hyperlink" xfId="309" builtinId="9" hidden="1"/>
    <cellStyle name="Besuchter Hyperlink" xfId="310" builtinId="9" hidden="1"/>
    <cellStyle name="Besuchter Hyperlink" xfId="311" builtinId="9" hidden="1"/>
    <cellStyle name="Besuchter Hyperlink" xfId="312" builtinId="9" hidden="1"/>
    <cellStyle name="Besuchter Hyperlink" xfId="313" builtinId="9" hidden="1"/>
    <cellStyle name="Besuchter Hyperlink" xfId="314" builtinId="9" hidden="1"/>
    <cellStyle name="Besuchter Hyperlink" xfId="315" builtinId="9" hidden="1"/>
    <cellStyle name="Besuchter Hyperlink" xfId="316" builtinId="9" hidden="1"/>
    <cellStyle name="Besuchter Hyperlink" xfId="317" builtinId="9" hidden="1"/>
    <cellStyle name="Besuchter Hyperlink" xfId="318" builtinId="9" hidden="1"/>
    <cellStyle name="Besuchter Hyperlink" xfId="319" builtinId="9" hidden="1"/>
    <cellStyle name="Besuchter Hyperlink" xfId="320" builtinId="9" hidden="1"/>
    <cellStyle name="Besuchter Hyperlink" xfId="321" builtinId="9" hidden="1"/>
    <cellStyle name="Besuchter Hyperlink" xfId="322" builtinId="9" hidden="1"/>
    <cellStyle name="Besuchter Hyperlink" xfId="323" builtinId="9" hidden="1"/>
    <cellStyle name="Besuchter Hyperlink" xfId="324" builtinId="9" hidden="1"/>
    <cellStyle name="Besuchter Hyperlink" xfId="325" builtinId="9" hidden="1"/>
    <cellStyle name="Besuchter Hyperlink" xfId="326" builtinId="9" hidden="1"/>
    <cellStyle name="Besuchter Hyperlink" xfId="327" builtinId="9" hidden="1"/>
    <cellStyle name="Besuchter Hyperlink" xfId="328" builtinId="9" hidden="1"/>
    <cellStyle name="Besuchter Hyperlink" xfId="329" builtinId="9" hidden="1"/>
    <cellStyle name="Besuchter Hyperlink" xfId="330" builtinId="9" hidden="1"/>
    <cellStyle name="Besuchter Hyperlink" xfId="331" builtinId="9" hidden="1"/>
    <cellStyle name="Besuchter Hyperlink" xfId="332" builtinId="9" hidden="1"/>
    <cellStyle name="Besuchter Hyperlink" xfId="333" builtinId="9" hidden="1"/>
    <cellStyle name="Besuchter Hyperlink" xfId="334" builtinId="9" hidden="1"/>
    <cellStyle name="Besuchter Hyperlink" xfId="335" builtinId="9" hidden="1"/>
    <cellStyle name="Besuchter Hyperlink" xfId="336" builtinId="9" hidden="1"/>
    <cellStyle name="Besuchter Hyperlink" xfId="337" builtinId="9" hidden="1"/>
    <cellStyle name="Besuchter Hyperlink" xfId="338" builtinId="9" hidden="1"/>
    <cellStyle name="Besuchter Hyperlink" xfId="339" builtinId="9" hidden="1"/>
    <cellStyle name="Besuchter Hyperlink" xfId="340" builtinId="9" hidden="1"/>
    <cellStyle name="Besuchter Hyperlink" xfId="341" builtinId="9" hidden="1"/>
    <cellStyle name="Besuchter Hyperlink" xfId="342" builtinId="9" hidden="1"/>
    <cellStyle name="Besuchter Hyperlink" xfId="343" builtinId="9" hidden="1"/>
    <cellStyle name="Besuchter Hyperlink" xfId="344" builtinId="9" hidden="1"/>
    <cellStyle name="Besuchter Hyperlink" xfId="345" builtinId="9" hidden="1"/>
    <cellStyle name="Besuchter Hyperlink" xfId="346" builtinId="9" hidden="1"/>
    <cellStyle name="Besuchter Hyperlink" xfId="347" builtinId="9" hidden="1"/>
    <cellStyle name="Besuchter Hyperlink" xfId="348" builtinId="9" hidden="1"/>
    <cellStyle name="Besuchter Hyperlink" xfId="349" builtinId="9" hidden="1"/>
    <cellStyle name="Besuchter Hyperlink" xfId="350" builtinId="9" hidden="1"/>
    <cellStyle name="Besuchter Hyperlink" xfId="351" builtinId="9" hidden="1"/>
    <cellStyle name="Besuchter Hyperlink" xfId="352" builtinId="9" hidden="1"/>
    <cellStyle name="Besuchter Hyperlink" xfId="353" builtinId="9" hidden="1"/>
    <cellStyle name="Besuchter Hyperlink" xfId="354" builtinId="9" hidden="1"/>
    <cellStyle name="Besuchter Hyperlink" xfId="355" builtinId="9" hidden="1"/>
    <cellStyle name="Besuchter Hyperlink" xfId="356" builtinId="9" hidden="1"/>
    <cellStyle name="Besuchter Hyperlink" xfId="357" builtinId="9" hidden="1"/>
    <cellStyle name="Besuchter Hyperlink" xfId="358" builtinId="9" hidden="1"/>
    <cellStyle name="Besuchter Hyperlink" xfId="359" builtinId="9" hidden="1"/>
    <cellStyle name="Besuchter Hyperlink" xfId="360" builtinId="9" hidden="1"/>
    <cellStyle name="Besuchter Hyperlink" xfId="361" builtinId="9" hidden="1"/>
    <cellStyle name="Besuchter Hyperlink" xfId="362" builtinId="9" hidden="1"/>
    <cellStyle name="Besuchter Hyperlink" xfId="363" builtinId="9" hidden="1"/>
    <cellStyle name="Besuchter Hyperlink" xfId="364" builtinId="9" hidden="1"/>
    <cellStyle name="Besuchter Hyperlink" xfId="365" builtinId="9" hidden="1"/>
    <cellStyle name="Besuchter Hyperlink" xfId="366" builtinId="9" hidden="1"/>
    <cellStyle name="Besuchter Hyperlink" xfId="367" builtinId="9" hidden="1"/>
    <cellStyle name="Besuchter Hyperlink" xfId="368" builtinId="9" hidden="1"/>
    <cellStyle name="Besuchter Hyperlink" xfId="369" builtinId="9" hidden="1"/>
    <cellStyle name="Besuchter Hyperlink" xfId="370" builtinId="9" hidden="1"/>
    <cellStyle name="Besuchter Hyperlink" xfId="371" builtinId="9" hidden="1"/>
    <cellStyle name="Besuchter Hyperlink" xfId="372" builtinId="9" hidden="1"/>
    <cellStyle name="Besuchter Hyperlink" xfId="373" builtinId="9" hidden="1"/>
    <cellStyle name="Besuchter Hyperlink" xfId="374" builtinId="9" hidden="1"/>
    <cellStyle name="Besuchter Hyperlink" xfId="375" builtinId="9" hidden="1"/>
    <cellStyle name="Besuchter Hyperlink" xfId="376" builtinId="9" hidden="1"/>
    <cellStyle name="Besuchter Hyperlink" xfId="377" builtinId="9" hidden="1"/>
    <cellStyle name="Besuchter Hyperlink" xfId="378" builtinId="9" hidden="1"/>
    <cellStyle name="Besuchter Hyperlink" xfId="379" builtinId="9" hidden="1"/>
    <cellStyle name="Besuchter Hyperlink" xfId="380" builtinId="9" hidden="1"/>
    <cellStyle name="Besuchter Hyperlink" xfId="381" builtinId="9" hidden="1"/>
    <cellStyle name="Besuchter Hyperlink" xfId="382" builtinId="9" hidden="1"/>
    <cellStyle name="Besuchter Hyperlink" xfId="383" builtinId="9" hidden="1"/>
    <cellStyle name="Besuchter Hyperlink" xfId="384" builtinId="9" hidden="1"/>
    <cellStyle name="Besuchter Hyperlink" xfId="385" builtinId="9" hidden="1"/>
    <cellStyle name="Besuchter Hyperlink" xfId="386" builtinId="9" hidden="1"/>
    <cellStyle name="Besuchter Hyperlink" xfId="387" builtinId="9" hidden="1"/>
    <cellStyle name="Besuchter Hyperlink" xfId="388" builtinId="9" hidden="1"/>
    <cellStyle name="Besuchter Hyperlink" xfId="389" builtinId="9" hidden="1"/>
    <cellStyle name="Besuchter Hyperlink" xfId="390" builtinId="9" hidden="1"/>
    <cellStyle name="Besuchter Hyperlink" xfId="391" builtinId="9" hidden="1"/>
    <cellStyle name="Besuchter Hyperlink" xfId="392" builtinId="9" hidden="1"/>
    <cellStyle name="Besuchter Hyperlink" xfId="393" builtinId="9" hidden="1"/>
    <cellStyle name="Besuchter Hyperlink" xfId="394" builtinId="9" hidden="1"/>
    <cellStyle name="Besuchter Hyperlink" xfId="395" builtinId="9" hidden="1"/>
    <cellStyle name="Besuchter Hyperlink" xfId="396" builtinId="9" hidden="1"/>
    <cellStyle name="Besuchter Hyperlink" xfId="397" builtinId="9" hidden="1"/>
    <cellStyle name="Besuchter Hyperlink" xfId="398" builtinId="9" hidden="1"/>
    <cellStyle name="Besuchter Hyperlink" xfId="399" builtinId="9" hidden="1"/>
    <cellStyle name="Besuchter Hyperlink" xfId="400" builtinId="9" hidden="1"/>
    <cellStyle name="Besuchter Hyperlink" xfId="401" builtinId="9" hidden="1"/>
    <cellStyle name="Besuchter Hyperlink" xfId="402" builtinId="9" hidden="1"/>
    <cellStyle name="Besuchter Hyperlink" xfId="403" builtinId="9" hidden="1"/>
    <cellStyle name="Besuchter Hyperlink" xfId="404" builtinId="9" hidden="1"/>
    <cellStyle name="Besuchter Hyperlink" xfId="405" builtinId="9" hidden="1"/>
    <cellStyle name="Besuchter Hyperlink" xfId="406" builtinId="9" hidden="1"/>
    <cellStyle name="Besuchter Hyperlink" xfId="407" builtinId="9" hidden="1"/>
    <cellStyle name="Besuchter Hyperlink" xfId="408" builtinId="9" hidden="1"/>
    <cellStyle name="Besuchter Hyperlink" xfId="409" builtinId="9" hidden="1"/>
    <cellStyle name="Besuchter Hyperlink" xfId="410" builtinId="9" hidden="1"/>
    <cellStyle name="Besuchter Hyperlink" xfId="411" builtinId="9" hidden="1"/>
    <cellStyle name="Besuchter Hyperlink" xfId="412" builtinId="9" hidden="1"/>
    <cellStyle name="Besuchter Hyperlink" xfId="413" builtinId="9" hidden="1"/>
    <cellStyle name="Besuchter Hyperlink" xfId="414" builtinId="9" hidden="1"/>
    <cellStyle name="Besuchter Hyperlink" xfId="415" builtinId="9" hidden="1"/>
    <cellStyle name="Besuchter Hyperlink" xfId="416" builtinId="9" hidden="1"/>
    <cellStyle name="Besuchter Hyperlink" xfId="417" builtinId="9" hidden="1"/>
    <cellStyle name="Besuchter Hyperlink" xfId="418" builtinId="9" hidden="1"/>
    <cellStyle name="Besuchter Hyperlink" xfId="419" builtinId="9" hidden="1"/>
    <cellStyle name="Besuchter Hyperlink" xfId="420" builtinId="9" hidden="1"/>
    <cellStyle name="Besuchter Hyperlink" xfId="421" builtinId="9" hidden="1"/>
    <cellStyle name="Besuchter Hyperlink" xfId="422" builtinId="9" hidden="1"/>
    <cellStyle name="Besuchter Hyperlink" xfId="423" builtinId="9" hidden="1"/>
    <cellStyle name="Besuchter Hyperlink" xfId="424" builtinId="9" hidden="1"/>
    <cellStyle name="Besuchter Hyperlink" xfId="425" builtinId="9" hidden="1"/>
    <cellStyle name="Besuchter Hyperlink" xfId="426" builtinId="9" hidden="1"/>
    <cellStyle name="Besuchter Hyperlink" xfId="427" builtinId="9" hidden="1"/>
    <cellStyle name="Besuchter Hyperlink" xfId="428" builtinId="9" hidden="1"/>
    <cellStyle name="Besuchter Hyperlink" xfId="429" builtinId="9" hidden="1"/>
    <cellStyle name="Besuchter Hyperlink" xfId="430" builtinId="9" hidden="1"/>
    <cellStyle name="Besuchter Hyperlink" xfId="431" builtinId="9" hidden="1"/>
    <cellStyle name="Besuchter Hyperlink" xfId="432" builtinId="9" hidden="1"/>
    <cellStyle name="Besuchter Hyperlink" xfId="433" builtinId="9" hidden="1"/>
    <cellStyle name="Besuchter Hyperlink" xfId="434" builtinId="9" hidden="1"/>
    <cellStyle name="Besuchter Hyperlink" xfId="435" builtinId="9" hidden="1"/>
    <cellStyle name="Besuchter Hyperlink" xfId="436" builtinId="9" hidden="1"/>
    <cellStyle name="Besuchter Hyperlink" xfId="437" builtinId="9" hidden="1"/>
    <cellStyle name="Besuchter Hyperlink" xfId="438" builtinId="9" hidden="1"/>
    <cellStyle name="Besuchter Hyperlink" xfId="439" builtinId="9" hidden="1"/>
    <cellStyle name="Besuchter Hyperlink" xfId="440" builtinId="9" hidden="1"/>
    <cellStyle name="Besuchter Hyperlink" xfId="441" builtinId="9" hidden="1"/>
    <cellStyle name="Besuchter Hyperlink" xfId="442" builtinId="9" hidden="1"/>
    <cellStyle name="Besuchter Hyperlink" xfId="443" builtinId="9" hidden="1"/>
    <cellStyle name="Besuchter Hyperlink" xfId="444" builtinId="9" hidden="1"/>
    <cellStyle name="Besuchter Hyperlink" xfId="445" builtinId="9" hidden="1"/>
    <cellStyle name="Besuchter Hyperlink" xfId="446" builtinId="9" hidden="1"/>
    <cellStyle name="Besuchter Hyperlink" xfId="447" builtinId="9" hidden="1"/>
    <cellStyle name="Besuchter Hyperlink" xfId="448" builtinId="9" hidden="1"/>
    <cellStyle name="Besuchter Hyperlink" xfId="449" builtinId="9" hidden="1"/>
    <cellStyle name="Besuchter Hyperlink" xfId="450" builtinId="9" hidden="1"/>
    <cellStyle name="Besuchter Hyperlink" xfId="451" builtinId="9" hidden="1"/>
    <cellStyle name="Besuchter Hyperlink" xfId="452" builtinId="9" hidden="1"/>
    <cellStyle name="Besuchter Hyperlink" xfId="453" builtinId="9" hidden="1"/>
    <cellStyle name="Besuchter Hyperlink" xfId="454" builtinId="9" hidden="1"/>
    <cellStyle name="Besuchter Hyperlink" xfId="455" builtinId="9" hidden="1"/>
    <cellStyle name="Besuchter Hyperlink" xfId="456" builtinId="9" hidden="1"/>
    <cellStyle name="Besuchter Hyperlink" xfId="457" builtinId="9" hidden="1"/>
    <cellStyle name="Besuchter Hyperlink" xfId="458" builtinId="9" hidden="1"/>
    <cellStyle name="Besuchter Hyperlink" xfId="459" builtinId="9" hidden="1"/>
    <cellStyle name="Besuchter Hyperlink" xfId="460" builtinId="9" hidden="1"/>
    <cellStyle name="Besuchter Hyperlink" xfId="461" builtinId="9" hidden="1"/>
    <cellStyle name="Besuchter Hyperlink" xfId="462" builtinId="9" hidden="1"/>
    <cellStyle name="Besuchter Hyperlink" xfId="463" builtinId="9" hidden="1"/>
    <cellStyle name="Besuchter Hyperlink" xfId="464" builtinId="9" hidden="1"/>
    <cellStyle name="Besuchter Hyperlink" xfId="465" builtinId="9" hidden="1"/>
    <cellStyle name="Besuchter Hyperlink" xfId="466" builtinId="9" hidden="1"/>
    <cellStyle name="Besuchter Hyperlink" xfId="467" builtinId="9" hidden="1"/>
    <cellStyle name="Besuchter Hyperlink" xfId="468" builtinId="9" hidden="1"/>
    <cellStyle name="Besuchter Hyperlink" xfId="469" builtinId="9" hidden="1"/>
    <cellStyle name="Besuchter Hyperlink" xfId="470" builtinId="9" hidden="1"/>
    <cellStyle name="Besuchter Hyperlink" xfId="471" builtinId="9" hidden="1"/>
    <cellStyle name="Besuchter Hyperlink" xfId="472" builtinId="9" hidden="1"/>
    <cellStyle name="Besuchter Hyperlink" xfId="473" builtinId="9" hidden="1"/>
    <cellStyle name="Besuchter Hyperlink" xfId="474" builtinId="9" hidden="1"/>
    <cellStyle name="Besuchter Hyperlink" xfId="475" builtinId="9" hidden="1"/>
    <cellStyle name="Besuchter Hyperlink" xfId="476" builtinId="9" hidden="1"/>
    <cellStyle name="Besuchter Hyperlink" xfId="477" builtinId="9" hidden="1"/>
    <cellStyle name="Besuchter Hyperlink" xfId="478" builtinId="9" hidden="1"/>
    <cellStyle name="Besuchter Hyperlink" xfId="479" builtinId="9" hidden="1"/>
    <cellStyle name="Besuchter Hyperlink" xfId="480" builtinId="9" hidden="1"/>
    <cellStyle name="Besuchter Hyperlink" xfId="481" builtinId="9" hidden="1"/>
    <cellStyle name="Besuchter Hyperlink" xfId="482" builtinId="9" hidden="1"/>
    <cellStyle name="Besuchter Hyperlink" xfId="483" builtinId="9" hidden="1"/>
    <cellStyle name="Besuchter Hyperlink" xfId="484" builtinId="9" hidden="1"/>
    <cellStyle name="Besuchter Hyperlink" xfId="485" builtinId="9" hidden="1"/>
    <cellStyle name="Besuchter Hyperlink" xfId="486" builtinId="9" hidden="1"/>
    <cellStyle name="Besuchter Hyperlink" xfId="487" builtinId="9" hidden="1"/>
    <cellStyle name="Besuchter Hyperlink" xfId="488" builtinId="9" hidden="1"/>
    <cellStyle name="Besuchter Hyperlink" xfId="489" builtinId="9" hidden="1"/>
    <cellStyle name="Besuchter Hyperlink" xfId="490" builtinId="9" hidden="1"/>
    <cellStyle name="Besuchter Hyperlink" xfId="491" builtinId="9" hidden="1"/>
    <cellStyle name="Besuchter Hyperlink" xfId="492" builtinId="9" hidden="1"/>
    <cellStyle name="Besuchter Hyperlink" xfId="493" builtinId="9" hidden="1"/>
    <cellStyle name="Besuchter Hyperlink" xfId="494" builtinId="9" hidden="1"/>
    <cellStyle name="Besuchter Hyperlink" xfId="495" builtinId="9" hidden="1"/>
    <cellStyle name="Besuchter Hyperlink" xfId="496" builtinId="9" hidden="1"/>
    <cellStyle name="Besuchter Hyperlink" xfId="497" builtinId="9" hidden="1"/>
    <cellStyle name="Besuchter Hyperlink" xfId="498" builtinId="9" hidden="1"/>
    <cellStyle name="Besuchter Hyperlink" xfId="499" builtinId="9" hidden="1"/>
    <cellStyle name="Besuchter Hyperlink" xfId="500" builtinId="9" hidden="1"/>
    <cellStyle name="Besuchter Hyperlink" xfId="501" builtinId="9" hidden="1"/>
    <cellStyle name="Besuchter Hyperlink" xfId="502" builtinId="9" hidden="1"/>
    <cellStyle name="Besuchter Hyperlink" xfId="503" builtinId="9" hidden="1"/>
    <cellStyle name="Besuchter Hyperlink" xfId="504" builtinId="9" hidden="1"/>
    <cellStyle name="Besuchter Hyperlink" xfId="505" builtinId="9" hidden="1"/>
    <cellStyle name="Besuchter Hyperlink" xfId="506" builtinId="9" hidden="1"/>
    <cellStyle name="Besuchter Hyperlink" xfId="507" builtinId="9" hidden="1"/>
    <cellStyle name="Besuchter Hyperlink" xfId="508" builtinId="9" hidden="1"/>
    <cellStyle name="Besuchter Hyperlink" xfId="509" builtinId="9" hidden="1"/>
    <cellStyle name="Besuchter Hyperlink" xfId="510" builtinId="9" hidden="1"/>
    <cellStyle name="Besuchter Hyperlink" xfId="511" builtinId="9" hidden="1"/>
    <cellStyle name="Besuchter Hyperlink" xfId="512" builtinId="9" hidden="1"/>
    <cellStyle name="Besuchter Hyperlink" xfId="513" builtinId="9" hidden="1"/>
    <cellStyle name="Besuchter Hyperlink" xfId="514" builtinId="9" hidden="1"/>
    <cellStyle name="Besuchter Hyperlink" xfId="515" builtinId="9" hidden="1"/>
    <cellStyle name="Besuchter Hyperlink" xfId="516" builtinId="9" hidden="1"/>
    <cellStyle name="Besuchter Hyperlink" xfId="517" builtinId="9" hidden="1"/>
    <cellStyle name="Besuchter Hyperlink" xfId="518" builtinId="9" hidden="1"/>
    <cellStyle name="Besuchter Hyperlink" xfId="519" builtinId="9" hidden="1"/>
    <cellStyle name="Besuchter Hyperlink" xfId="520" builtinId="9" hidden="1"/>
    <cellStyle name="Besuchter Hyperlink" xfId="521" builtinId="9" hidden="1"/>
    <cellStyle name="Besuchter Hyperlink" xfId="522" builtinId="9" hidden="1"/>
    <cellStyle name="Besuchter Hyperlink" xfId="523" builtinId="9" hidden="1"/>
    <cellStyle name="Besuchter Hyperlink" xfId="524" builtinId="9" hidden="1"/>
    <cellStyle name="Besuchter Hyperlink" xfId="525" builtinId="9" hidden="1"/>
    <cellStyle name="Besuchter Hyperlink" xfId="526" builtinId="9" hidden="1"/>
    <cellStyle name="Besuchter Hyperlink" xfId="527" builtinId="9" hidden="1"/>
    <cellStyle name="Besuchter Hyperlink" xfId="528" builtinId="9" hidden="1"/>
    <cellStyle name="Besuchter Hyperlink" xfId="529" builtinId="9" hidden="1"/>
    <cellStyle name="Besuchter Hyperlink" xfId="530" builtinId="9" hidden="1"/>
    <cellStyle name="Besuchter Hyperlink" xfId="531" builtinId="9" hidden="1"/>
    <cellStyle name="Besuchter Hyperlink" xfId="532" builtinId="9" hidden="1"/>
    <cellStyle name="Besuchter Hyperlink" xfId="533" builtinId="9" hidden="1"/>
    <cellStyle name="Besuchter Hyperlink" xfId="534" builtinId="9" hidden="1"/>
    <cellStyle name="Besuchter Hyperlink" xfId="535" builtinId="9" hidden="1"/>
    <cellStyle name="Besuchter Hyperlink" xfId="536" builtinId="9" hidden="1"/>
    <cellStyle name="Besuchter Hyperlink" xfId="537" builtinId="9" hidden="1"/>
    <cellStyle name="Besuchter Hyperlink" xfId="538" builtinId="9" hidden="1"/>
    <cellStyle name="Besuchter Hyperlink" xfId="539" builtinId="9" hidden="1"/>
    <cellStyle name="Besuchter Hyperlink" xfId="540" builtinId="9" hidden="1"/>
    <cellStyle name="Besuchter Hyperlink" xfId="541" builtinId="9" hidden="1"/>
    <cellStyle name="Besuchter Hyperlink" xfId="542" builtinId="9" hidden="1"/>
    <cellStyle name="Besuchter Hyperlink" xfId="543" builtinId="9" hidden="1"/>
    <cellStyle name="Besuchter Hyperlink" xfId="544" builtinId="9" hidden="1"/>
    <cellStyle name="Besuchter Hyperlink" xfId="545" builtinId="9" hidden="1"/>
    <cellStyle name="Besuchter Hyperlink" xfId="546" builtinId="9" hidden="1"/>
    <cellStyle name="Besuchter Hyperlink" xfId="547" builtinId="9" hidden="1"/>
    <cellStyle name="Besuchter Hyperlink" xfId="548" builtinId="9" hidden="1"/>
    <cellStyle name="Besuchter Hyperlink" xfId="549" builtinId="9" hidden="1"/>
    <cellStyle name="Besuchter Hyperlink" xfId="550" builtinId="9" hidden="1"/>
    <cellStyle name="Besuchter Hyperlink" xfId="551" builtinId="9" hidden="1"/>
    <cellStyle name="Besuchter Hyperlink" xfId="552" builtinId="9" hidden="1"/>
    <cellStyle name="Besuchter Hyperlink" xfId="553" builtinId="9" hidden="1"/>
    <cellStyle name="Besuchter Hyperlink" xfId="554" builtinId="9" hidden="1"/>
    <cellStyle name="Besuchter Hyperlink" xfId="555" builtinId="9" hidden="1"/>
    <cellStyle name="Besuchter Hyperlink" xfId="556" builtinId="9" hidden="1"/>
    <cellStyle name="Besuchter Hyperlink" xfId="557" builtinId="9" hidden="1"/>
    <cellStyle name="Besuchter Hyperlink" xfId="558" builtinId="9" hidden="1"/>
    <cellStyle name="Besuchter Hyperlink" xfId="559" builtinId="9" hidden="1"/>
    <cellStyle name="Besuchter Hyperlink" xfId="560" builtinId="9" hidden="1"/>
    <cellStyle name="Besuchter Hyperlink" xfId="561" builtinId="9" hidden="1"/>
    <cellStyle name="Besuchter Hyperlink" xfId="562" builtinId="9" hidden="1"/>
    <cellStyle name="Besuchter Hyperlink" xfId="563" builtinId="9" hidden="1"/>
    <cellStyle name="Besuchter Hyperlink" xfId="564" builtinId="9" hidden="1"/>
    <cellStyle name="Besuchter Hyperlink" xfId="565" builtinId="9" hidden="1"/>
    <cellStyle name="Besuchter Hyperlink" xfId="566" builtinId="9" hidden="1"/>
    <cellStyle name="Besuchter Hyperlink" xfId="567" builtinId="9" hidden="1"/>
    <cellStyle name="Besuchter Hyperlink" xfId="568" builtinId="9" hidden="1"/>
    <cellStyle name="Besuchter Hyperlink" xfId="569" builtinId="9" hidden="1"/>
    <cellStyle name="Besuchter Hyperlink" xfId="570" builtinId="9" hidden="1"/>
    <cellStyle name="Besuchter Hyperlink" xfId="571" builtinId="9" hidden="1"/>
    <cellStyle name="Besuchter Hyperlink" xfId="572" builtinId="9" hidden="1"/>
    <cellStyle name="Besuchter Hyperlink" xfId="573" builtinId="9" hidden="1"/>
    <cellStyle name="Besuchter Hyperlink" xfId="574" builtinId="9" hidden="1"/>
    <cellStyle name="Besuchter Hyperlink" xfId="575" builtinId="9" hidden="1"/>
    <cellStyle name="Besuchter Hyperlink" xfId="576" builtinId="9" hidden="1"/>
    <cellStyle name="Besuchter Hyperlink" xfId="577" builtinId="9" hidden="1"/>
    <cellStyle name="Besuchter Hyperlink" xfId="578" builtinId="9" hidden="1"/>
    <cellStyle name="Besuchter Hyperlink" xfId="579" builtinId="9" hidden="1"/>
    <cellStyle name="Besuchter Hyperlink" xfId="580" builtinId="9" hidden="1"/>
    <cellStyle name="Besuchter Hyperlink" xfId="581" builtinId="9" hidden="1"/>
    <cellStyle name="Besuchter Hyperlink" xfId="582" builtinId="9" hidden="1"/>
    <cellStyle name="Besuchter Hyperlink" xfId="583" builtinId="9" hidden="1"/>
    <cellStyle name="Besuchter Hyperlink" xfId="584" builtinId="9" hidden="1"/>
    <cellStyle name="Besuchter Hyperlink" xfId="585" builtinId="9" hidden="1"/>
    <cellStyle name="Besuchter Hyperlink" xfId="586" builtinId="9" hidden="1"/>
    <cellStyle name="Besuchter Hyperlink" xfId="587" builtinId="9" hidden="1"/>
    <cellStyle name="Besuchter Hyperlink" xfId="588" builtinId="9" hidden="1"/>
    <cellStyle name="Besuchter Hyperlink" xfId="589" builtinId="9" hidden="1"/>
    <cellStyle name="Besuchter Hyperlink" xfId="590" builtinId="9" hidden="1"/>
    <cellStyle name="Besuchter Hyperlink" xfId="591" builtinId="9" hidden="1"/>
    <cellStyle name="Besuchter Hyperlink" xfId="592" builtinId="9" hidden="1"/>
    <cellStyle name="Besuchter Hyperlink" xfId="593" builtinId="9" hidden="1"/>
    <cellStyle name="Besuchter Hyperlink" xfId="594" builtinId="9" hidden="1"/>
    <cellStyle name="Besuchter Hyperlink" xfId="595" builtinId="9" hidden="1"/>
    <cellStyle name="Besuchter Hyperlink" xfId="596" builtinId="9" hidden="1"/>
    <cellStyle name="Besuchter Hyperlink" xfId="597" builtinId="9" hidden="1"/>
    <cellStyle name="Besuchter Hyperlink" xfId="598" builtinId="9" hidden="1"/>
    <cellStyle name="Besuchter Hyperlink" xfId="599" builtinId="9" hidden="1"/>
    <cellStyle name="Besuchter Hyperlink" xfId="600" builtinId="9" hidden="1"/>
    <cellStyle name="Besuchter Hyperlink" xfId="601" builtinId="9" hidden="1"/>
    <cellStyle name="Besuchter Hyperlink" xfId="602" builtinId="9" hidden="1"/>
    <cellStyle name="Besuchter Hyperlink" xfId="603" builtinId="9" hidden="1"/>
    <cellStyle name="Besuchter Hyperlink" xfId="604" builtinId="9" hidden="1"/>
    <cellStyle name="Besuchter Hyperlink" xfId="605" builtinId="9" hidden="1"/>
    <cellStyle name="Besuchter Hyperlink" xfId="606" builtinId="9" hidden="1"/>
    <cellStyle name="Besuchter Hyperlink" xfId="607" builtinId="9" hidden="1"/>
    <cellStyle name="Besuchter Hyperlink" xfId="608" builtinId="9" hidden="1"/>
    <cellStyle name="Besuchter Hyperlink" xfId="609" builtinId="9" hidden="1"/>
    <cellStyle name="Besuchter Hyperlink" xfId="610" builtinId="9" hidden="1"/>
    <cellStyle name="Besuchter Hyperlink" xfId="611" builtinId="9" hidden="1"/>
    <cellStyle name="Besuchter Hyperlink" xfId="612" builtinId="9" hidden="1"/>
    <cellStyle name="Besuchter Hyperlink" xfId="613" builtinId="9" hidden="1"/>
    <cellStyle name="Besuchter Hyperlink" xfId="614" builtinId="9" hidden="1"/>
    <cellStyle name="Besuchter Hyperlink" xfId="615" builtinId="9" hidden="1"/>
    <cellStyle name="Besuchter Hyperlink" xfId="616" builtinId="9" hidden="1"/>
    <cellStyle name="Besuchter Hyperlink" xfId="617" builtinId="9" hidden="1"/>
    <cellStyle name="Besuchter Hyperlink" xfId="618" builtinId="9" hidden="1"/>
    <cellStyle name="Besuchter Hyperlink" xfId="619" builtinId="9" hidden="1"/>
    <cellStyle name="Besuchter Hyperlink" xfId="620" builtinId="9" hidden="1"/>
    <cellStyle name="Besuchter Hyperlink" xfId="621" builtinId="9" hidden="1"/>
    <cellStyle name="Besuchter Hyperlink" xfId="622" builtinId="9" hidden="1"/>
    <cellStyle name="Besuchter Hyperlink" xfId="623" builtinId="9" hidden="1"/>
    <cellStyle name="Besuchter Hyperlink" xfId="624" builtinId="9" hidden="1"/>
    <cellStyle name="Besuchter Hyperlink" xfId="625" builtinId="9" hidden="1"/>
    <cellStyle name="Besuchter Hyperlink" xfId="626" builtinId="9" hidden="1"/>
    <cellStyle name="Besuchter Hyperlink" xfId="627" builtinId="9" hidden="1"/>
    <cellStyle name="Besuchter Hyperlink" xfId="628" builtinId="9" hidden="1"/>
    <cellStyle name="Besuchter Hyperlink" xfId="629" builtinId="9" hidden="1"/>
    <cellStyle name="Besuchter Hyperlink" xfId="630" builtinId="9" hidden="1"/>
    <cellStyle name="Besuchter Hyperlink" xfId="631" builtinId="9" hidden="1"/>
    <cellStyle name="Besuchter Hyperlink" xfId="632" builtinId="9" hidden="1"/>
    <cellStyle name="Besuchter Hyperlink" xfId="633" builtinId="9" hidden="1"/>
    <cellStyle name="Besuchter Hyperlink" xfId="634" builtinId="9" hidden="1"/>
    <cellStyle name="Besuchter Hyperlink" xfId="635" builtinId="9" hidden="1"/>
    <cellStyle name="Besuchter Hyperlink" xfId="636" builtinId="9" hidden="1"/>
    <cellStyle name="Besuchter Hyperlink" xfId="637" builtinId="9" hidden="1"/>
    <cellStyle name="Besuchter Hyperlink" xfId="638" builtinId="9" hidden="1"/>
    <cellStyle name="Besuchter Hyperlink" xfId="639" builtinId="9" hidden="1"/>
    <cellStyle name="Besuchter Hyperlink" xfId="640" builtinId="9" hidden="1"/>
    <cellStyle name="Besuchter Hyperlink" xfId="641" builtinId="9" hidden="1"/>
    <cellStyle name="Besuchter Hyperlink" xfId="642" builtinId="9" hidden="1"/>
    <cellStyle name="Besuchter Hyperlink" xfId="643" builtinId="9" hidden="1"/>
    <cellStyle name="Besuchter Hyperlink" xfId="644" builtinId="9" hidden="1"/>
    <cellStyle name="Besuchter Hyperlink" xfId="645" builtinId="9" hidden="1"/>
    <cellStyle name="Besuchter Hyperlink" xfId="646" builtinId="9" hidden="1"/>
    <cellStyle name="Besuchter Hyperlink" xfId="647" builtinId="9" hidden="1"/>
    <cellStyle name="Besuchter Hyperlink" xfId="648" builtinId="9" hidden="1"/>
    <cellStyle name="Besuchter Hyperlink" xfId="649" builtinId="9" hidden="1"/>
    <cellStyle name="Besuchter Hyperlink" xfId="650" builtinId="9" hidden="1"/>
    <cellStyle name="Besuchter Hyperlink" xfId="651" builtinId="9" hidden="1"/>
    <cellStyle name="Besuchter Hyperlink" xfId="652" builtinId="9" hidden="1"/>
    <cellStyle name="Besuchter Hyperlink" xfId="653" builtinId="9" hidden="1"/>
    <cellStyle name="Besuchter Hyperlink" xfId="654" builtinId="9" hidden="1"/>
    <cellStyle name="Besuchter Hyperlink" xfId="655" builtinId="9" hidden="1"/>
    <cellStyle name="Besuchter Hyperlink" xfId="656" builtinId="9" hidden="1"/>
    <cellStyle name="Besuchter Hyperlink" xfId="657" builtinId="9" hidden="1"/>
    <cellStyle name="Besuchter Hyperlink" xfId="658" builtinId="9" hidden="1"/>
    <cellStyle name="Besuchter Hyperlink" xfId="659" builtinId="9" hidden="1"/>
    <cellStyle name="Besuchter Hyperlink" xfId="660" builtinId="9" hidden="1"/>
    <cellStyle name="Besuchter Hyperlink" xfId="661" builtinId="9" hidden="1"/>
    <cellStyle name="Besuchter Hyperlink" xfId="662" builtinId="9" hidden="1"/>
    <cellStyle name="Besuchter Hyperlink" xfId="663" builtinId="9" hidden="1"/>
    <cellStyle name="Besuchter Hyperlink" xfId="664" builtinId="9" hidden="1"/>
    <cellStyle name="Besuchter Hyperlink" xfId="665" builtinId="9" hidden="1"/>
    <cellStyle name="Besuchter Hyperlink" xfId="666" builtinId="9" hidden="1"/>
    <cellStyle name="Besuchter Hyperlink" xfId="667" builtinId="9" hidden="1"/>
    <cellStyle name="Besuchter Hyperlink" xfId="668" builtinId="9" hidden="1"/>
    <cellStyle name="Besuchter Hyperlink" xfId="669" builtinId="9" hidden="1"/>
    <cellStyle name="Besuchter Hyperlink" xfId="670" builtinId="9" hidden="1"/>
    <cellStyle name="Besuchter Hyperlink" xfId="671" builtinId="9" hidden="1"/>
    <cellStyle name="Besuchter Hyperlink" xfId="672" builtinId="9" hidden="1"/>
    <cellStyle name="Besuchter Hyperlink" xfId="673" builtinId="9" hidden="1"/>
    <cellStyle name="Besuchter Hyperlink" xfId="674" builtinId="9" hidden="1"/>
    <cellStyle name="Besuchter Hyperlink" xfId="675" builtinId="9" hidden="1"/>
    <cellStyle name="Besuchter Hyperlink" xfId="676" builtinId="9" hidden="1"/>
    <cellStyle name="Besuchter Hyperlink" xfId="677" builtinId="9" hidden="1"/>
    <cellStyle name="Besuchter Hyperlink" xfId="678" builtinId="9" hidden="1"/>
    <cellStyle name="Besuchter Hyperlink" xfId="679" builtinId="9" hidden="1"/>
    <cellStyle name="Besuchter Hyperlink" xfId="680" builtinId="9" hidden="1"/>
    <cellStyle name="Besuchter Hyperlink" xfId="681" builtinId="9" hidden="1"/>
    <cellStyle name="Besuchter Hyperlink" xfId="682" builtinId="9" hidden="1"/>
    <cellStyle name="Besuchter Hyperlink" xfId="683" builtinId="9" hidden="1"/>
    <cellStyle name="Besuchter Hyperlink" xfId="684" builtinId="9" hidden="1"/>
    <cellStyle name="Besuchter Hyperlink" xfId="685" builtinId="9" hidden="1"/>
    <cellStyle name="Besuchter Hyperlink" xfId="686" builtinId="9" hidden="1"/>
    <cellStyle name="Besuchter Hyperlink" xfId="687" builtinId="9" hidden="1"/>
    <cellStyle name="Besuchter Hyperlink" xfId="688" builtinId="9" hidden="1"/>
    <cellStyle name="Besuchter Hyperlink" xfId="689" builtinId="9" hidden="1"/>
    <cellStyle name="Besuchter Hyperlink" xfId="690" builtinId="9" hidden="1"/>
    <cellStyle name="Besuchter Hyperlink" xfId="691" builtinId="9" hidden="1"/>
    <cellStyle name="Besuchter Hyperlink" xfId="692" builtinId="9" hidden="1"/>
    <cellStyle name="Besuchter Hyperlink" xfId="693" builtinId="9" hidden="1"/>
    <cellStyle name="Besuchter Hyperlink" xfId="694" builtinId="9" hidden="1"/>
    <cellStyle name="Besuchter Hyperlink" xfId="695" builtinId="9" hidden="1"/>
    <cellStyle name="Besuchter Hyperlink" xfId="696" builtinId="9" hidden="1"/>
    <cellStyle name="Besuchter Hyperlink" xfId="697" builtinId="9" hidden="1"/>
    <cellStyle name="Besuchter Hyperlink" xfId="698" builtinId="9" hidden="1"/>
    <cellStyle name="Besuchter Hyperlink" xfId="699" builtinId="9" hidden="1"/>
    <cellStyle name="Besuchter Hyperlink" xfId="700" builtinId="9" hidden="1"/>
    <cellStyle name="Besuchter Hyperlink" xfId="701" builtinId="9" hidden="1"/>
    <cellStyle name="Besuchter Hyperlink" xfId="702" builtinId="9" hidden="1"/>
    <cellStyle name="Besuchter Hyperlink" xfId="703" builtinId="9" hidden="1"/>
    <cellStyle name="Besuchter Hyperlink" xfId="704" builtinId="9" hidden="1"/>
    <cellStyle name="Besuchter Hyperlink" xfId="705" builtinId="9" hidden="1"/>
    <cellStyle name="Besuchter Hyperlink" xfId="706" builtinId="9" hidden="1"/>
    <cellStyle name="Besuchter Hyperlink" xfId="707" builtinId="9" hidden="1"/>
    <cellStyle name="Besuchter Hyperlink" xfId="708" builtinId="9" hidden="1"/>
    <cellStyle name="Besuchter Hyperlink" xfId="709" builtinId="9" hidden="1"/>
    <cellStyle name="Besuchter Hyperlink" xfId="710" builtinId="9" hidden="1"/>
    <cellStyle name="Besuchter Hyperlink" xfId="711" builtinId="9" hidden="1"/>
    <cellStyle name="Besuchter Hyperlink" xfId="712" builtinId="9" hidden="1"/>
    <cellStyle name="Besuchter Hyperlink" xfId="713" builtinId="9" hidden="1"/>
    <cellStyle name="Besuchter Hyperlink" xfId="714" builtinId="9" hidden="1"/>
    <cellStyle name="Besuchter Hyperlink" xfId="715" builtinId="9" hidden="1"/>
    <cellStyle name="Besuchter Hyperlink" xfId="716" builtinId="9" hidden="1"/>
    <cellStyle name="Besuchter Hyperlink" xfId="717" builtinId="9" hidden="1"/>
    <cellStyle name="Besuchter Hyperlink" xfId="718" builtinId="9" hidden="1"/>
    <cellStyle name="Besuchter Hyperlink" xfId="719" builtinId="9" hidden="1"/>
    <cellStyle name="Besuchter Hyperlink" xfId="720" builtinId="9" hidden="1"/>
    <cellStyle name="Besuchter Hyperlink" xfId="721" builtinId="9" hidden="1"/>
    <cellStyle name="Besuchter Hyperlink" xfId="722" builtinId="9" hidden="1"/>
    <cellStyle name="Besuchter Hyperlink" xfId="723" builtinId="9" hidden="1"/>
    <cellStyle name="Besuchter Hyperlink" xfId="724" builtinId="9" hidden="1"/>
    <cellStyle name="Besuchter Hyperlink" xfId="725" builtinId="9" hidden="1"/>
    <cellStyle name="Besuchter Hyperlink" xfId="726" builtinId="9" hidden="1"/>
    <cellStyle name="Besuchter Hyperlink" xfId="727" builtinId="9" hidden="1"/>
    <cellStyle name="Besuchter Hyperlink" xfId="728" builtinId="9" hidden="1"/>
    <cellStyle name="Besuchter Hyperlink" xfId="729" builtinId="9" hidden="1"/>
    <cellStyle name="Besuchter Hyperlink" xfId="730" builtinId="9" hidden="1"/>
    <cellStyle name="Besuchter Hyperlink" xfId="731" builtinId="9" hidden="1"/>
    <cellStyle name="Besuchter Hyperlink" xfId="732" builtinId="9" hidden="1"/>
    <cellStyle name="Besuchter Hyperlink" xfId="733" builtinId="9" hidden="1"/>
    <cellStyle name="Besuchter Hyperlink" xfId="734" builtinId="9" hidden="1"/>
    <cellStyle name="Besuchter Hyperlink" xfId="735" builtinId="9" hidden="1"/>
    <cellStyle name="Besuchter Hyperlink" xfId="736" builtinId="9" hidden="1"/>
    <cellStyle name="Besuchter Hyperlink" xfId="737" builtinId="9" hidden="1"/>
    <cellStyle name="Besuchter Hyperlink" xfId="738" builtinId="9" hidden="1"/>
    <cellStyle name="Besuchter Hyperlink" xfId="739" builtinId="9" hidden="1"/>
    <cellStyle name="Besuchter Hyperlink" xfId="740" builtinId="9" hidden="1"/>
    <cellStyle name="Besuchter Hyperlink" xfId="741" builtinId="9" hidden="1"/>
    <cellStyle name="Besuchter Hyperlink" xfId="742" builtinId="9" hidden="1"/>
    <cellStyle name="Besuchter Hyperlink" xfId="743" builtinId="9" hidden="1"/>
    <cellStyle name="Besuchter Hyperlink" xfId="744" builtinId="9" hidden="1"/>
    <cellStyle name="Besuchter Hyperlink" xfId="745" builtinId="9" hidden="1"/>
    <cellStyle name="Besuchter Hyperlink" xfId="746" builtinId="9" hidden="1"/>
    <cellStyle name="Besuchter Hyperlink" xfId="747" builtinId="9" hidden="1"/>
    <cellStyle name="Besuchter Hyperlink" xfId="748" builtinId="9" hidden="1"/>
    <cellStyle name="Besuchter Hyperlink" xfId="749" builtinId="9" hidden="1"/>
    <cellStyle name="Besuchter Hyperlink" xfId="750" builtinId="9" hidden="1"/>
    <cellStyle name="Besuchter Hyperlink" xfId="751" builtinId="9" hidden="1"/>
    <cellStyle name="Besuchter Hyperlink" xfId="752" builtinId="9" hidden="1"/>
    <cellStyle name="Besuchter Hyperlink" xfId="753" builtinId="9" hidden="1"/>
    <cellStyle name="Besuchter Hyperlink" xfId="754" builtinId="9" hidden="1"/>
    <cellStyle name="Besuchter Hyperlink" xfId="755" builtinId="9" hidden="1"/>
    <cellStyle name="Besuchter Hyperlink" xfId="756" builtinId="9" hidden="1"/>
    <cellStyle name="Besuchter Hyperlink" xfId="757" builtinId="9" hidden="1"/>
    <cellStyle name="Besuchter Hyperlink" xfId="758" builtinId="9" hidden="1"/>
    <cellStyle name="Besuchter Hyperlink" xfId="759" builtinId="9" hidden="1"/>
    <cellStyle name="Besuchter Hyperlink" xfId="760" builtinId="9" hidden="1"/>
    <cellStyle name="Besuchter Hyperlink" xfId="761" builtinId="9" hidden="1"/>
    <cellStyle name="Besuchter Hyperlink" xfId="762" builtinId="9" hidden="1"/>
    <cellStyle name="Besuchter Hyperlink" xfId="763" builtinId="9" hidden="1"/>
    <cellStyle name="Besuchter Hyperlink" xfId="764" builtinId="9" hidden="1"/>
    <cellStyle name="Besuchter Hyperlink" xfId="765" builtinId="9" hidden="1"/>
    <cellStyle name="Besuchter Hyperlink" xfId="766" builtinId="9" hidden="1"/>
    <cellStyle name="Besuchter Hyperlink" xfId="767" builtinId="9" hidden="1"/>
    <cellStyle name="Besuchter Hyperlink" xfId="768" builtinId="9" hidden="1"/>
    <cellStyle name="Besuchter Hyperlink" xfId="769" builtinId="9" hidden="1"/>
    <cellStyle name="Besuchter Hyperlink" xfId="770" builtinId="9" hidden="1"/>
    <cellStyle name="Besuchter Hyperlink" xfId="771" builtinId="9" hidden="1"/>
    <cellStyle name="Besuchter Hyperlink" xfId="772" builtinId="9" hidden="1"/>
    <cellStyle name="Besuchter Hyperlink" xfId="773" builtinId="9" hidden="1"/>
    <cellStyle name="Besuchter Hyperlink" xfId="774" builtinId="9" hidden="1"/>
    <cellStyle name="Besuchter Hyperlink" xfId="775" builtinId="9" hidden="1"/>
    <cellStyle name="Besuchter Hyperlink" xfId="776" builtinId="9" hidden="1"/>
    <cellStyle name="Besuchter Hyperlink" xfId="777" builtinId="9" hidden="1"/>
    <cellStyle name="Besuchter Hyperlink" xfId="778" builtinId="9" hidden="1"/>
    <cellStyle name="Besuchter Hyperlink" xfId="779" builtinId="9" hidden="1"/>
    <cellStyle name="Besuchter Hyperlink" xfId="780" builtinId="9" hidden="1"/>
    <cellStyle name="Besuchter Hyperlink" xfId="781" builtinId="9" hidden="1"/>
    <cellStyle name="Besuchter Hyperlink" xfId="782" builtinId="9" hidden="1"/>
    <cellStyle name="Besuchter Hyperlink" xfId="783" builtinId="9" hidden="1"/>
    <cellStyle name="Besuchter Hyperlink" xfId="784" builtinId="9" hidden="1"/>
    <cellStyle name="Besuchter Hyperlink" xfId="785" builtinId="9" hidden="1"/>
    <cellStyle name="Besuchter Hyperlink" xfId="786" builtinId="9" hidden="1"/>
    <cellStyle name="Besuchter Hyperlink" xfId="787" builtinId="9" hidden="1"/>
    <cellStyle name="Besuchter Hyperlink" xfId="788" builtinId="9" hidden="1"/>
    <cellStyle name="Besuchter Hyperlink" xfId="789" builtinId="9" hidden="1"/>
    <cellStyle name="Besuchter Hyperlink" xfId="790" builtinId="9" hidden="1"/>
    <cellStyle name="Besuchter Hyperlink" xfId="791" builtinId="9" hidden="1"/>
    <cellStyle name="Besuchter Hyperlink" xfId="792" builtinId="9" hidden="1"/>
    <cellStyle name="Besuchter Hyperlink" xfId="793" builtinId="9" hidden="1"/>
    <cellStyle name="Besuchter Hyperlink" xfId="794" builtinId="9" hidden="1"/>
    <cellStyle name="Besuchter Hyperlink" xfId="795" builtinId="9" hidden="1"/>
    <cellStyle name="Besuchter Hyperlink" xfId="796" builtinId="9" hidden="1"/>
    <cellStyle name="Besuchter Hyperlink" xfId="797" builtinId="9" hidden="1"/>
    <cellStyle name="Besuchter Hyperlink" xfId="798" builtinId="9" hidden="1"/>
    <cellStyle name="Besuchter Hyperlink" xfId="799" builtinId="9" hidden="1"/>
    <cellStyle name="Besuchter Hyperlink" xfId="800" builtinId="9" hidden="1"/>
    <cellStyle name="Besuchter Hyperlink" xfId="801" builtinId="9" hidden="1"/>
    <cellStyle name="Besuchter Hyperlink" xfId="802" builtinId="9" hidden="1"/>
    <cellStyle name="Besuchter Hyperlink" xfId="803" builtinId="9" hidden="1"/>
    <cellStyle name="Besuchter Hyperlink" xfId="804" builtinId="9" hidden="1"/>
    <cellStyle name="Besuchter Hyperlink" xfId="805" builtinId="9" hidden="1"/>
    <cellStyle name="Besuchter Hyperlink" xfId="806" builtinId="9" hidden="1"/>
    <cellStyle name="Besuchter Hyperlink" xfId="807" builtinId="9" hidden="1"/>
    <cellStyle name="Besuchter Hyperlink" xfId="808" builtinId="9" hidden="1"/>
    <cellStyle name="Besuchter Hyperlink" xfId="809" builtinId="9" hidden="1"/>
    <cellStyle name="Besuchter Hyperlink" xfId="810" builtinId="9" hidden="1"/>
    <cellStyle name="Besuchter Hyperlink" xfId="811" builtinId="9" hidden="1"/>
    <cellStyle name="Besuchter Hyperlink" xfId="812" builtinId="9" hidden="1"/>
    <cellStyle name="Besuchter Hyperlink" xfId="813" builtinId="9" hidden="1"/>
    <cellStyle name="Besuchter Hyperlink" xfId="814" builtinId="9" hidden="1"/>
    <cellStyle name="Besuchter Hyperlink" xfId="815" builtinId="9" hidden="1"/>
    <cellStyle name="Besuchter Hyperlink" xfId="816" builtinId="9" hidden="1"/>
    <cellStyle name="Besuchter Hyperlink" xfId="817" builtinId="9" hidden="1"/>
    <cellStyle name="Besuchter Hyperlink" xfId="818" builtinId="9" hidden="1"/>
    <cellStyle name="Besuchter Hyperlink" xfId="819" builtinId="9" hidden="1"/>
    <cellStyle name="Besuchter Hyperlink" xfId="820" builtinId="9" hidden="1"/>
    <cellStyle name="Besuchter Hyperlink" xfId="821" builtinId="9" hidden="1"/>
    <cellStyle name="Besuchter Hyperlink" xfId="822" builtinId="9" hidden="1"/>
    <cellStyle name="Besuchter Hyperlink" xfId="823" builtinId="9" hidden="1"/>
    <cellStyle name="Besuchter Hyperlink" xfId="824" builtinId="9" hidden="1"/>
    <cellStyle name="Besuchter Hyperlink" xfId="825" builtinId="9" hidden="1"/>
    <cellStyle name="Besuchter Hyperlink" xfId="826" builtinId="9" hidden="1"/>
    <cellStyle name="Besuchter Hyperlink" xfId="827" builtinId="9" hidden="1"/>
    <cellStyle name="Besuchter Hyperlink" xfId="828" builtinId="9" hidden="1"/>
    <cellStyle name="Besuchter Hyperlink" xfId="829" builtinId="9" hidden="1"/>
    <cellStyle name="Besuchter Hyperlink" xfId="830" builtinId="9" hidden="1"/>
    <cellStyle name="Besuchter Hyperlink" xfId="831" builtinId="9" hidden="1"/>
    <cellStyle name="Besuchter Hyperlink" xfId="832" builtinId="9" hidden="1"/>
    <cellStyle name="Besuchter Hyperlink" xfId="833" builtinId="9" hidden="1"/>
    <cellStyle name="Besuchter Hyperlink" xfId="834" builtinId="9" hidden="1"/>
    <cellStyle name="Besuchter Hyperlink" xfId="835" builtinId="9" hidden="1"/>
    <cellStyle name="Besuchter Hyperlink" xfId="836" builtinId="9" hidden="1"/>
    <cellStyle name="Besuchter Hyperlink" xfId="837" builtinId="9" hidden="1"/>
    <cellStyle name="Besuchter Hyperlink" xfId="838" builtinId="9" hidden="1"/>
    <cellStyle name="Besuchter Hyperlink" xfId="839" builtinId="9" hidden="1"/>
    <cellStyle name="Besuchter Hyperlink" xfId="840" builtinId="9" hidden="1"/>
    <cellStyle name="Besuchter Hyperlink" xfId="841" builtinId="9" hidden="1"/>
    <cellStyle name="Besuchter Hyperlink" xfId="842" builtinId="9" hidden="1"/>
    <cellStyle name="Besuchter Hyperlink" xfId="843" builtinId="9" hidden="1"/>
    <cellStyle name="Besuchter Hyperlink" xfId="844" builtinId="9" hidden="1"/>
    <cellStyle name="Besuchter Hyperlink" xfId="845" builtinId="9" hidden="1"/>
    <cellStyle name="Besuchter Hyperlink" xfId="846" builtinId="9" hidden="1"/>
    <cellStyle name="Besuchter Hyperlink" xfId="847" builtinId="9" hidden="1"/>
    <cellStyle name="Besuchter Hyperlink" xfId="848" builtinId="9" hidden="1"/>
    <cellStyle name="Besuchter Hyperlink" xfId="849" builtinId="9" hidden="1"/>
    <cellStyle name="Besuchter Hyperlink" xfId="850" builtinId="9" hidden="1"/>
    <cellStyle name="Besuchter Hyperlink" xfId="851" builtinId="9" hidden="1"/>
    <cellStyle name="Besuchter Hyperlink" xfId="852" builtinId="9" hidden="1"/>
    <cellStyle name="Besuchter Hyperlink" xfId="853" builtinId="9" hidden="1"/>
    <cellStyle name="Besuchter Hyperlink" xfId="854" builtinId="9" hidden="1"/>
    <cellStyle name="Besuchter Hyperlink" xfId="855" builtinId="9" hidden="1"/>
    <cellStyle name="Besuchter Hyperlink" xfId="856" builtinId="9" hidden="1"/>
    <cellStyle name="Besuchter Hyperlink" xfId="857" builtinId="9" hidden="1"/>
    <cellStyle name="Besuchter Hyperlink" xfId="858" builtinId="9" hidden="1"/>
    <cellStyle name="Besuchter Hyperlink" xfId="859" builtinId="9" hidden="1"/>
    <cellStyle name="Besuchter Hyperlink" xfId="860" builtinId="9" hidden="1"/>
    <cellStyle name="Besuchter Hyperlink" xfId="861" builtinId="9" hidden="1"/>
    <cellStyle name="Besuchter Hyperlink" xfId="862" builtinId="9" hidden="1"/>
    <cellStyle name="Besuchter Hyperlink" xfId="863" builtinId="9" hidden="1"/>
    <cellStyle name="Besuchter Hyperlink" xfId="864" builtinId="9" hidden="1"/>
    <cellStyle name="Besuchter Hyperlink" xfId="865" builtinId="9" hidden="1"/>
    <cellStyle name="Besuchter Hyperlink" xfId="866" builtinId="9" hidden="1"/>
    <cellStyle name="Besuchter Hyperlink" xfId="867" builtinId="9" hidden="1"/>
    <cellStyle name="Besuchter Hyperlink" xfId="868" builtinId="9" hidden="1"/>
    <cellStyle name="Besuchter Hyperlink" xfId="869" builtinId="9" hidden="1"/>
    <cellStyle name="Besuchter Hyperlink" xfId="870" builtinId="9" hidden="1"/>
    <cellStyle name="Besuchter Hyperlink" xfId="871" builtinId="9" hidden="1"/>
    <cellStyle name="Besuchter Hyperlink" xfId="872" builtinId="9" hidden="1"/>
    <cellStyle name="Besuchter Hyperlink" xfId="873" builtinId="9" hidden="1"/>
    <cellStyle name="Besuchter Hyperlink" xfId="874" builtinId="9" hidden="1"/>
    <cellStyle name="Besuchter Hyperlink" xfId="875" builtinId="9" hidden="1"/>
    <cellStyle name="Besuchter Hyperlink" xfId="876" builtinId="9" hidden="1"/>
    <cellStyle name="Besuchter Hyperlink" xfId="877" builtinId="9" hidden="1"/>
    <cellStyle name="Besuchter Hyperlink" xfId="878" builtinId="9" hidden="1"/>
    <cellStyle name="Besuchter Hyperlink" xfId="879" builtinId="9" hidden="1"/>
    <cellStyle name="Besuchter Hyperlink" xfId="880" builtinId="9" hidden="1"/>
    <cellStyle name="Besuchter Hyperlink" xfId="881" builtinId="9" hidden="1"/>
    <cellStyle name="Besuchter Hyperlink" xfId="882" builtinId="9" hidden="1"/>
    <cellStyle name="Besuchter Hyperlink" xfId="883" builtinId="9" hidden="1"/>
    <cellStyle name="Besuchter Hyperlink" xfId="884" builtinId="9" hidden="1"/>
    <cellStyle name="Besuchter Hyperlink" xfId="885" builtinId="9" hidden="1"/>
    <cellStyle name="Besuchter Hyperlink" xfId="886" builtinId="9" hidden="1"/>
    <cellStyle name="Besuchter Hyperlink" xfId="887" builtinId="9" hidden="1"/>
    <cellStyle name="Besuchter Hyperlink" xfId="888" builtinId="9" hidden="1"/>
    <cellStyle name="Besuchter Hyperlink" xfId="889" builtinId="9" hidden="1"/>
    <cellStyle name="Besuchter Hyperlink" xfId="890" builtinId="9" hidden="1"/>
    <cellStyle name="Besuchter Hyperlink" xfId="891" builtinId="9" hidden="1"/>
    <cellStyle name="Besuchter Hyperlink" xfId="892" builtinId="9" hidden="1"/>
    <cellStyle name="Besuchter Hyperlink" xfId="893" builtinId="9" hidden="1"/>
    <cellStyle name="Besuchter Hyperlink" xfId="894" builtinId="9" hidden="1"/>
    <cellStyle name="Besuchter Hyperlink" xfId="895" builtinId="9" hidden="1"/>
    <cellStyle name="Besuchter Hyperlink" xfId="896" builtinId="9" hidden="1"/>
    <cellStyle name="Besuchter Hyperlink" xfId="897" builtinId="9" hidden="1"/>
    <cellStyle name="Besuchter Hyperlink" xfId="898" builtinId="9" hidden="1"/>
    <cellStyle name="Besuchter Hyperlink" xfId="899" builtinId="9" hidden="1"/>
    <cellStyle name="Besuchter Hyperlink" xfId="900" builtinId="9" hidden="1"/>
    <cellStyle name="Besuchter Hyperlink" xfId="901" builtinId="9" hidden="1"/>
    <cellStyle name="Besuchter Hyperlink" xfId="902" builtinId="9" hidden="1"/>
    <cellStyle name="Besuchter Hyperlink" xfId="903" builtinId="9" hidden="1"/>
    <cellStyle name="Besuchter Hyperlink" xfId="904" builtinId="9" hidden="1"/>
    <cellStyle name="Besuchter Hyperlink" xfId="905" builtinId="9" hidden="1"/>
    <cellStyle name="Besuchter Hyperlink" xfId="906" builtinId="9" hidden="1"/>
    <cellStyle name="Besuchter Hyperlink" xfId="907" builtinId="9" hidden="1"/>
    <cellStyle name="Besuchter Hyperlink" xfId="908" builtinId="9" hidden="1"/>
    <cellStyle name="Besuchter Hyperlink" xfId="909" builtinId="9" hidden="1"/>
    <cellStyle name="Besuchter Hyperlink" xfId="910" builtinId="9" hidden="1"/>
    <cellStyle name="Besuchter Hyperlink" xfId="911" builtinId="9" hidden="1"/>
    <cellStyle name="Besuchter Hyperlink" xfId="912" builtinId="9" hidden="1"/>
    <cellStyle name="Besuchter Hyperlink" xfId="913" builtinId="9" hidden="1"/>
    <cellStyle name="Besuchter Hyperlink" xfId="914" builtinId="9" hidden="1"/>
    <cellStyle name="Besuchter Hyperlink" xfId="915" builtinId="9" hidden="1"/>
    <cellStyle name="Besuchter Hyperlink" xfId="916" builtinId="9" hidden="1"/>
    <cellStyle name="Besuchter Hyperlink" xfId="917" builtinId="9" hidden="1"/>
    <cellStyle name="Besuchter Hyperlink" xfId="918" builtinId="9" hidden="1"/>
    <cellStyle name="Besuchter Hyperlink" xfId="919" builtinId="9" hidden="1"/>
    <cellStyle name="Besuchter Hyperlink" xfId="920" builtinId="9" hidden="1"/>
    <cellStyle name="Besuchter Hyperlink" xfId="921" builtinId="9" hidden="1"/>
    <cellStyle name="Besuchter Hyperlink" xfId="922" builtinId="9" hidden="1"/>
    <cellStyle name="Besuchter Hyperlink" xfId="923" builtinId="9" hidden="1"/>
    <cellStyle name="Besuchter Hyperlink" xfId="924" builtinId="9" hidden="1"/>
    <cellStyle name="Besuchter Hyperlink" xfId="925" builtinId="9" hidden="1"/>
    <cellStyle name="Besuchter Hyperlink" xfId="926" builtinId="9" hidden="1"/>
    <cellStyle name="Besuchter Hyperlink" xfId="927" builtinId="9" hidden="1"/>
    <cellStyle name="Besuchter Hyperlink" xfId="928" builtinId="9" hidden="1"/>
    <cellStyle name="Besuchter Hyperlink" xfId="929" builtinId="9" hidden="1"/>
    <cellStyle name="Besuchter Hyperlink" xfId="930" builtinId="9" hidden="1"/>
    <cellStyle name="Besuchter Hyperlink" xfId="931" builtinId="9" hidden="1"/>
    <cellStyle name="Besuchter Hyperlink" xfId="932" builtinId="9" hidden="1"/>
    <cellStyle name="Besuchter Hyperlink" xfId="933" builtinId="9" hidden="1"/>
    <cellStyle name="Besuchter Hyperlink" xfId="934" builtinId="9" hidden="1"/>
    <cellStyle name="Besuchter Hyperlink" xfId="935" builtinId="9" hidden="1"/>
    <cellStyle name="Besuchter Hyperlink" xfId="936" builtinId="9" hidden="1"/>
    <cellStyle name="Besuchter Hyperlink" xfId="937" builtinId="9" hidden="1"/>
    <cellStyle name="Besuchter Hyperlink" xfId="938" builtinId="9" hidden="1"/>
    <cellStyle name="Besuchter Hyperlink" xfId="939" builtinId="9" hidden="1"/>
    <cellStyle name="Besuchter Hyperlink" xfId="940" builtinId="9" hidden="1"/>
    <cellStyle name="Besuchter Hyperlink" xfId="941" builtinId="9" hidden="1"/>
    <cellStyle name="Besuchter Hyperlink" xfId="942" builtinId="9" hidden="1"/>
    <cellStyle name="Besuchter Hyperlink" xfId="943" builtinId="9" hidden="1"/>
    <cellStyle name="Besuchter Hyperlink" xfId="944" builtinId="9" hidden="1"/>
    <cellStyle name="Besuchter Hyperlink" xfId="945" builtinId="9" hidden="1"/>
    <cellStyle name="Besuchter Hyperlink" xfId="946" builtinId="9" hidden="1"/>
    <cellStyle name="Besuchter Hyperlink" xfId="947" builtinId="9" hidden="1"/>
    <cellStyle name="Besuchter Hyperlink" xfId="948" builtinId="9" hidden="1"/>
    <cellStyle name="Besuchter Hyperlink" xfId="949" builtinId="9" hidden="1"/>
    <cellStyle name="Besuchter Hyperlink" xfId="950" builtinId="9" hidden="1"/>
    <cellStyle name="Besuchter Hyperlink" xfId="951" builtinId="9" hidden="1"/>
    <cellStyle name="Besuchter Hyperlink" xfId="952" builtinId="9" hidden="1"/>
    <cellStyle name="Besuchter Hyperlink" xfId="953" builtinId="9" hidden="1"/>
    <cellStyle name="Besuchter Hyperlink" xfId="954" builtinId="9" hidden="1"/>
    <cellStyle name="Besuchter Hyperlink" xfId="955" builtinId="9" hidden="1"/>
    <cellStyle name="Besuchter Hyperlink" xfId="956" builtinId="9" hidden="1"/>
    <cellStyle name="Besuchter Hyperlink" xfId="957" builtinId="9" hidden="1"/>
    <cellStyle name="Besuchter Hyperlink" xfId="958" builtinId="9" hidden="1"/>
    <cellStyle name="Besuchter Hyperlink" xfId="959" builtinId="9" hidden="1"/>
    <cellStyle name="Besuchter Hyperlink" xfId="960" builtinId="9" hidden="1"/>
    <cellStyle name="Besuchter Hyperlink" xfId="961" builtinId="9" hidden="1"/>
    <cellStyle name="Besuchter Hyperlink" xfId="962" builtinId="9" hidden="1"/>
    <cellStyle name="Besuchter Hyperlink" xfId="963" builtinId="9" hidden="1"/>
    <cellStyle name="Besuchter Hyperlink" xfId="964" builtinId="9" hidden="1"/>
    <cellStyle name="Besuchter Hyperlink" xfId="965" builtinId="9" hidden="1"/>
    <cellStyle name="Besuchter Hyperlink" xfId="966" builtinId="9" hidden="1"/>
    <cellStyle name="Besuchter Hyperlink" xfId="967" builtinId="9" hidden="1"/>
    <cellStyle name="Besuchter Hyperlink" xfId="968" builtinId="9" hidden="1"/>
    <cellStyle name="Besuchter Hyperlink" xfId="969" builtinId="9" hidden="1"/>
    <cellStyle name="Besuchter Hyperlink" xfId="970" builtinId="9" hidden="1"/>
    <cellStyle name="Besuchter Hyperlink" xfId="971" builtinId="9" hidden="1"/>
    <cellStyle name="Besuchter Hyperlink" xfId="972" builtinId="9" hidden="1"/>
    <cellStyle name="Besuchter Hyperlink" xfId="973" builtinId="9" hidden="1"/>
    <cellStyle name="Besuchter Hyperlink" xfId="974" builtinId="9" hidden="1"/>
    <cellStyle name="Besuchter Hyperlink" xfId="975" builtinId="9" hidden="1"/>
    <cellStyle name="Besuchter Hyperlink" xfId="976" builtinId="9" hidden="1"/>
    <cellStyle name="Besuchter Hyperlink" xfId="977" builtinId="9" hidden="1"/>
    <cellStyle name="Besuchter Hyperlink" xfId="978" builtinId="9" hidden="1"/>
    <cellStyle name="Besuchter Hyperlink" xfId="979" builtinId="9" hidden="1"/>
    <cellStyle name="Besuchter Hyperlink" xfId="980" builtinId="9" hidden="1"/>
    <cellStyle name="Besuchter Hyperlink" xfId="981" builtinId="9" hidden="1"/>
    <cellStyle name="Besuchter Hyperlink" xfId="982" builtinId="9" hidden="1"/>
    <cellStyle name="Besuchter Hyperlink" xfId="983" builtinId="9" hidden="1"/>
    <cellStyle name="Besuchter Hyperlink" xfId="984" builtinId="9" hidden="1"/>
    <cellStyle name="Besuchter Hyperlink" xfId="985" builtinId="9" hidden="1"/>
    <cellStyle name="Besuchter Hyperlink" xfId="986" builtinId="9" hidden="1"/>
    <cellStyle name="Besuchter Hyperlink" xfId="987" builtinId="9" hidden="1"/>
    <cellStyle name="Besuchter Hyperlink" xfId="988" builtinId="9" hidden="1"/>
    <cellStyle name="Besuchter Hyperlink" xfId="989" builtinId="9" hidden="1"/>
    <cellStyle name="Besuchter Hyperlink" xfId="990" builtinId="9" hidden="1"/>
    <cellStyle name="Besuchter Hyperlink" xfId="991" builtinId="9" hidden="1"/>
    <cellStyle name="Besuchter Hyperlink" xfId="992" builtinId="9" hidden="1"/>
    <cellStyle name="Besuchter Hyperlink" xfId="993" builtinId="9" hidden="1"/>
    <cellStyle name="Besuchter Hyperlink" xfId="994" builtinId="9" hidden="1"/>
    <cellStyle name="Besuchter Hyperlink" xfId="995" builtinId="9" hidden="1"/>
    <cellStyle name="Besuchter Hyperlink" xfId="996" builtinId="9" hidden="1"/>
    <cellStyle name="Besuchter Hyperlink" xfId="997" builtinId="9" hidden="1"/>
    <cellStyle name="Besuchter Hyperlink" xfId="998" builtinId="9" hidden="1"/>
    <cellStyle name="Besuchter Hyperlink" xfId="999" builtinId="9" hidden="1"/>
    <cellStyle name="Besuchter Hyperlink" xfId="1000" builtinId="9" hidden="1"/>
    <cellStyle name="Besuchter Hyperlink" xfId="1001" builtinId="9" hidden="1"/>
    <cellStyle name="Besuchter Hyperlink" xfId="1002" builtinId="9" hidden="1"/>
    <cellStyle name="Besuchter Hyperlink" xfId="1003" builtinId="9" hidden="1"/>
    <cellStyle name="Besuchter Hyperlink" xfId="1004" builtinId="9" hidden="1"/>
    <cellStyle name="Besuchter Hyperlink" xfId="1005" builtinId="9" hidden="1"/>
    <cellStyle name="Besuchter Hyperlink" xfId="1006" builtinId="9" hidden="1"/>
    <cellStyle name="Besuchter Hyperlink" xfId="1007" builtinId="9" hidden="1"/>
    <cellStyle name="Besuchter Hyperlink" xfId="1008" builtinId="9" hidden="1"/>
    <cellStyle name="Besuchter Hyperlink" xfId="1009" builtinId="9" hidden="1"/>
    <cellStyle name="Besuchter Hyperlink" xfId="1010" builtinId="9" hidden="1"/>
    <cellStyle name="Besuchter Hyperlink" xfId="1011" builtinId="9" hidden="1"/>
    <cellStyle name="Besuchter Hyperlink" xfId="1012" builtinId="9" hidden="1"/>
    <cellStyle name="Besuchter Hyperlink" xfId="1013" builtinId="9" hidden="1"/>
    <cellStyle name="Besuchter Hyperlink" xfId="1014" builtinId="9" hidden="1"/>
    <cellStyle name="Besuchter Hyperlink" xfId="1015" builtinId="9" hidden="1"/>
    <cellStyle name="Besuchter Hyperlink" xfId="1016" builtinId="9" hidden="1"/>
    <cellStyle name="Besuchter Hyperlink" xfId="1017" builtinId="9" hidden="1"/>
    <cellStyle name="Besuchter Hyperlink" xfId="1018" builtinId="9" hidden="1"/>
    <cellStyle name="Besuchter Hyperlink" xfId="1019" builtinId="9" hidden="1"/>
    <cellStyle name="Besuchter Hyperlink" xfId="1020" builtinId="9" hidden="1"/>
    <cellStyle name="Besuchter Hyperlink" xfId="1021" builtinId="9" hidden="1"/>
    <cellStyle name="Besuchter Hyperlink" xfId="1022" builtinId="9" hidden="1"/>
    <cellStyle name="Besuchter Hyperlink" xfId="1023" builtinId="9" hidden="1"/>
    <cellStyle name="Besuchter Hyperlink" xfId="1024" builtinId="9" hidden="1"/>
    <cellStyle name="Besuchter Hyperlink" xfId="1025" builtinId="9" hidden="1"/>
    <cellStyle name="Besuchter Hyperlink" xfId="1026" builtinId="9" hidden="1"/>
    <cellStyle name="Besuchter Hyperlink" xfId="1027" builtinId="9" hidden="1"/>
    <cellStyle name="Besuchter Hyperlink" xfId="1028" builtinId="9" hidden="1"/>
    <cellStyle name="Besuchter Hyperlink" xfId="1029" builtinId="9" hidden="1"/>
    <cellStyle name="Besuchter Hyperlink" xfId="1030" builtinId="9" hidden="1"/>
    <cellStyle name="Besuchter Hyperlink" xfId="1031" builtinId="9" hidden="1"/>
    <cellStyle name="Besuchter Hyperlink" xfId="1032" builtinId="9" hidden="1"/>
    <cellStyle name="Besuchter Hyperlink" xfId="1033" builtinId="9" hidden="1"/>
    <cellStyle name="Besuchter Hyperlink" xfId="1034" builtinId="9" hidden="1"/>
    <cellStyle name="Besuchter Hyperlink" xfId="1035" builtinId="9" hidden="1"/>
    <cellStyle name="Besuchter Hyperlink" xfId="1036" builtinId="9" hidden="1"/>
    <cellStyle name="Besuchter Hyperlink" xfId="1037" builtinId="9" hidden="1"/>
    <cellStyle name="Besuchter Hyperlink" xfId="1038" builtinId="9" hidden="1"/>
    <cellStyle name="Besuchter Hyperlink" xfId="1039" builtinId="9" hidden="1"/>
    <cellStyle name="Besuchter Hyperlink" xfId="1040" builtinId="9" hidden="1"/>
    <cellStyle name="Besuchter Hyperlink" xfId="1041" builtinId="9" hidden="1"/>
    <cellStyle name="Besuchter Hyperlink" xfId="1042" builtinId="9" hidden="1"/>
    <cellStyle name="Besuchter Hyperlink" xfId="1043" builtinId="9" hidden="1"/>
    <cellStyle name="Besuchter Hyperlink" xfId="1044" builtinId="9" hidden="1"/>
    <cellStyle name="Besuchter Hyperlink" xfId="1045" builtinId="9" hidden="1"/>
    <cellStyle name="Besuchter Hyperlink" xfId="1046" builtinId="9" hidden="1"/>
    <cellStyle name="Besuchter Hyperlink" xfId="1047" builtinId="9" hidden="1"/>
    <cellStyle name="Besuchter Hyperlink" xfId="1048" builtinId="9" hidden="1"/>
    <cellStyle name="Besuchter Hyperlink" xfId="1049" builtinId="9" hidden="1"/>
    <cellStyle name="Besuchter Hyperlink" xfId="1050" builtinId="9" hidden="1"/>
    <cellStyle name="Besuchter Hyperlink" xfId="1051" builtinId="9" hidden="1"/>
    <cellStyle name="Besuchter Hyperlink" xfId="1052" builtinId="9" hidden="1"/>
    <cellStyle name="Besuchter Hyperlink" xfId="1053" builtinId="9" hidden="1"/>
    <cellStyle name="Besuchter Hyperlink" xfId="1054" builtinId="9" hidden="1"/>
    <cellStyle name="Besuchter Hyperlink" xfId="1055" builtinId="9" hidden="1"/>
    <cellStyle name="Besuchter Hyperlink" xfId="1056" builtinId="9" hidden="1"/>
    <cellStyle name="Besuchter Hyperlink" xfId="1057" builtinId="9" hidden="1"/>
    <cellStyle name="Besuchter Hyperlink" xfId="1058" builtinId="9" hidden="1"/>
    <cellStyle name="Besuchter Hyperlink" xfId="1059" builtinId="9" hidden="1"/>
    <cellStyle name="Besuchter Hyperlink" xfId="1060" builtinId="9" hidden="1"/>
    <cellStyle name="Besuchter Hyperlink" xfId="1061" builtinId="9" hidden="1"/>
    <cellStyle name="Besuchter Hyperlink" xfId="1062" builtinId="9" hidden="1"/>
    <cellStyle name="Besuchter Hyperlink" xfId="1063" builtinId="9" hidden="1"/>
    <cellStyle name="Besuchter Hyperlink" xfId="1064" builtinId="9" hidden="1"/>
    <cellStyle name="Besuchter Hyperlink" xfId="1065" builtinId="9" hidden="1"/>
    <cellStyle name="Besuchter Hyperlink" xfId="1066" builtinId="9" hidden="1"/>
    <cellStyle name="Besuchter Hyperlink" xfId="1067" builtinId="9" hidden="1"/>
    <cellStyle name="Besuchter Hyperlink" xfId="1068" builtinId="9" hidden="1"/>
    <cellStyle name="Besuchter Hyperlink" xfId="1069" builtinId="9" hidden="1"/>
    <cellStyle name="Besuchter Hyperlink" xfId="1070" builtinId="9" hidden="1"/>
    <cellStyle name="Besuchter Hyperlink" xfId="1071" builtinId="9" hidden="1"/>
    <cellStyle name="Besuchter Hyperlink" xfId="1072" builtinId="9" hidden="1"/>
    <cellStyle name="Besuchter Hyperlink" xfId="1073" builtinId="9" hidden="1"/>
    <cellStyle name="Besuchter Hyperlink" xfId="1074" builtinId="9" hidden="1"/>
    <cellStyle name="Besuchter Hyperlink" xfId="1075" builtinId="9" hidden="1"/>
    <cellStyle name="Besuchter Hyperlink" xfId="1076" builtinId="9" hidden="1"/>
    <cellStyle name="Besuchter Hyperlink" xfId="1077" builtinId="9" hidden="1"/>
    <cellStyle name="Besuchter Hyperlink" xfId="1078" builtinId="9" hidden="1"/>
    <cellStyle name="Besuchter Hyperlink" xfId="1079" builtinId="9" hidden="1"/>
    <cellStyle name="Besuchter Hyperlink" xfId="1080" builtinId="9" hidden="1"/>
    <cellStyle name="Besuchter Hyperlink" xfId="1081" builtinId="9" hidden="1"/>
    <cellStyle name="Besuchter Hyperlink" xfId="1082" builtinId="9" hidden="1"/>
    <cellStyle name="Besuchter Hyperlink" xfId="1083" builtinId="9" hidden="1"/>
    <cellStyle name="Besuchter Hyperlink" xfId="1084" builtinId="9" hidden="1"/>
    <cellStyle name="Besuchter Hyperlink" xfId="1085" builtinId="9" hidden="1"/>
    <cellStyle name="Besuchter Hyperlink" xfId="1086" builtinId="9" hidden="1"/>
    <cellStyle name="Besuchter Hyperlink" xfId="1087" builtinId="9" hidden="1"/>
    <cellStyle name="Besuchter Hyperlink" xfId="1088" builtinId="9" hidden="1"/>
    <cellStyle name="Besuchter Hyperlink" xfId="1089" builtinId="9" hidden="1"/>
    <cellStyle name="Besuchter Hyperlink" xfId="1090" builtinId="9" hidden="1"/>
    <cellStyle name="Besuchter Hyperlink" xfId="1091" builtinId="9" hidden="1"/>
    <cellStyle name="Besuchter Hyperlink" xfId="1092" builtinId="9" hidden="1"/>
    <cellStyle name="Besuchter Hyperlink" xfId="1093" builtinId="9" hidden="1"/>
    <cellStyle name="Besuchter Hyperlink" xfId="1094" builtinId="9" hidden="1"/>
    <cellStyle name="Besuchter Hyperlink" xfId="1095" builtinId="9" hidden="1"/>
    <cellStyle name="Besuchter Hyperlink" xfId="1096" builtinId="9" hidden="1"/>
    <cellStyle name="Besuchter Hyperlink" xfId="1097" builtinId="9" hidden="1"/>
    <cellStyle name="Besuchter Hyperlink" xfId="1098" builtinId="9" hidden="1"/>
    <cellStyle name="Besuchter Hyperlink" xfId="1099" builtinId="9" hidden="1"/>
    <cellStyle name="Besuchter Hyperlink" xfId="1100" builtinId="9" hidden="1"/>
    <cellStyle name="Besuchter Hyperlink" xfId="1101" builtinId="9" hidden="1"/>
    <cellStyle name="Besuchter Hyperlink" xfId="1102" builtinId="9" hidden="1"/>
    <cellStyle name="Besuchter Hyperlink" xfId="1103" builtinId="9" hidden="1"/>
    <cellStyle name="Besuchter Hyperlink" xfId="1104" builtinId="9" hidden="1"/>
    <cellStyle name="Besuchter Hyperlink" xfId="1105" builtinId="9" hidden="1"/>
    <cellStyle name="Besuchter Hyperlink" xfId="1106" builtinId="9" hidden="1"/>
    <cellStyle name="Besuchter Hyperlink" xfId="1107" builtinId="9" hidden="1"/>
    <cellStyle name="Besuchter Hyperlink" xfId="1108" builtinId="9" hidden="1"/>
    <cellStyle name="Besuchter Hyperlink" xfId="1109" builtinId="9" hidden="1"/>
    <cellStyle name="Besuchter Hyperlink" xfId="1110" builtinId="9" hidden="1"/>
    <cellStyle name="Besuchter Hyperlink" xfId="1111" builtinId="9" hidden="1"/>
    <cellStyle name="Besuchter Hyperlink" xfId="1112" builtinId="9" hidden="1"/>
    <cellStyle name="Besuchter Hyperlink" xfId="1113" builtinId="9" hidden="1"/>
    <cellStyle name="Besuchter Hyperlink" xfId="1114" builtinId="9" hidden="1"/>
    <cellStyle name="Besuchter Hyperlink" xfId="1115" builtinId="9" hidden="1"/>
    <cellStyle name="Besuchter Hyperlink" xfId="1116" builtinId="9" hidden="1"/>
    <cellStyle name="Besuchter Hyperlink" xfId="1117" builtinId="9" hidden="1"/>
    <cellStyle name="Besuchter Hyperlink" xfId="1118" builtinId="9" hidden="1"/>
    <cellStyle name="Besuchter Hyperlink" xfId="1119" builtinId="9" hidden="1"/>
    <cellStyle name="Besuchter Hyperlink" xfId="1120" builtinId="9" hidden="1"/>
    <cellStyle name="Besuchter Hyperlink" xfId="1121" builtinId="9" hidden="1"/>
    <cellStyle name="Besuchter Hyperlink" xfId="1122" builtinId="9" hidden="1"/>
    <cellStyle name="Besuchter Hyperlink" xfId="1123" builtinId="9" hidden="1"/>
    <cellStyle name="Besuchter Hyperlink" xfId="1124" builtinId="9" hidden="1"/>
    <cellStyle name="Besuchter Hyperlink" xfId="1125" builtinId="9" hidden="1"/>
    <cellStyle name="Besuchter Hyperlink" xfId="1126" builtinId="9" hidden="1"/>
    <cellStyle name="Besuchter Hyperlink" xfId="1127" builtinId="9" hidden="1"/>
    <cellStyle name="Besuchter Hyperlink" xfId="1128" builtinId="9" hidden="1"/>
    <cellStyle name="Besuchter Hyperlink" xfId="1129" builtinId="9" hidden="1"/>
    <cellStyle name="Besuchter Hyperlink" xfId="1130" builtinId="9" hidden="1"/>
    <cellStyle name="Besuchter Hyperlink" xfId="1131" builtinId="9" hidden="1"/>
    <cellStyle name="Besuchter Hyperlink" xfId="1132" builtinId="9" hidden="1"/>
    <cellStyle name="Besuchter Hyperlink" xfId="1133" builtinId="9" hidden="1"/>
    <cellStyle name="Besuchter Hyperlink" xfId="1134" builtinId="9" hidden="1"/>
    <cellStyle name="Besuchter Hyperlink" xfId="1135" builtinId="9" hidden="1"/>
    <cellStyle name="Besuchter Hyperlink" xfId="1136" builtinId="9" hidden="1"/>
    <cellStyle name="Besuchter Hyperlink" xfId="1137" builtinId="9" hidden="1"/>
    <cellStyle name="Besuchter Hyperlink" xfId="1138" builtinId="9" hidden="1"/>
    <cellStyle name="Besuchter Hyperlink" xfId="1139" builtinId="9" hidden="1"/>
    <cellStyle name="Besuchter Hyperlink" xfId="1140" builtinId="9" hidden="1"/>
    <cellStyle name="Besuchter Hyperlink" xfId="1141" builtinId="9" hidden="1"/>
    <cellStyle name="Besuchter Hyperlink" xfId="1142" builtinId="9" hidden="1"/>
    <cellStyle name="Besuchter Hyperlink" xfId="1143" builtinId="9" hidden="1"/>
    <cellStyle name="Besuchter Hyperlink" xfId="1144" builtinId="9" hidden="1"/>
    <cellStyle name="Besuchter Hyperlink" xfId="1145" builtinId="9" hidden="1"/>
    <cellStyle name="Besuchter Hyperlink" xfId="1146" builtinId="9" hidden="1"/>
    <cellStyle name="Besuchter Hyperlink" xfId="1147" builtinId="9" hidden="1"/>
    <cellStyle name="Besuchter Hyperlink" xfId="1148" builtinId="9" hidden="1"/>
    <cellStyle name="Besuchter Hyperlink" xfId="1149" builtinId="9" hidden="1"/>
    <cellStyle name="Besuchter Hyperlink" xfId="1150" builtinId="9" hidden="1"/>
    <cellStyle name="Besuchter Hyperlink" xfId="1151" builtinId="9" hidden="1"/>
    <cellStyle name="Besuchter Hyperlink" xfId="1152" builtinId="9" hidden="1"/>
    <cellStyle name="Besuchter Hyperlink" xfId="1153" builtinId="9" hidden="1"/>
    <cellStyle name="Besuchter Hyperlink" xfId="1154" builtinId="9" hidden="1"/>
    <cellStyle name="Besuchter Hyperlink" xfId="1155" builtinId="9" hidden="1"/>
    <cellStyle name="Besuchter Hyperlink" xfId="1156" builtinId="9" hidden="1"/>
    <cellStyle name="Besuchter Hyperlink" xfId="1157" builtinId="9" hidden="1"/>
    <cellStyle name="Besuchter Hyperlink" xfId="1158" builtinId="9" hidden="1"/>
    <cellStyle name="Besuchter Hyperlink" xfId="1159" builtinId="9" hidden="1"/>
    <cellStyle name="Besuchter Hyperlink" xfId="1160" builtinId="9" hidden="1"/>
    <cellStyle name="Besuchter Hyperlink" xfId="1161" builtinId="9" hidden="1"/>
    <cellStyle name="Besuchter Hyperlink" xfId="1162" builtinId="9" hidden="1"/>
    <cellStyle name="Besuchter Hyperlink" xfId="1163" builtinId="9" hidden="1"/>
    <cellStyle name="Besuchter Hyperlink" xfId="1164" builtinId="9" hidden="1"/>
    <cellStyle name="Besuchter Hyperlink" xfId="1165" builtinId="9" hidden="1"/>
    <cellStyle name="Besuchter Hyperlink" xfId="1166" builtinId="9" hidden="1"/>
    <cellStyle name="Besuchter Hyperlink" xfId="1167" builtinId="9" hidden="1"/>
    <cellStyle name="Besuchter Hyperlink" xfId="1168" builtinId="9" hidden="1"/>
    <cellStyle name="Besuchter Hyperlink" xfId="1169" builtinId="9" hidden="1"/>
    <cellStyle name="Besuchter Hyperlink" xfId="1170" builtinId="9" hidden="1"/>
    <cellStyle name="Besuchter Hyperlink" xfId="1171" builtinId="9" hidden="1"/>
    <cellStyle name="Besuchter Hyperlink" xfId="1172" builtinId="9" hidden="1"/>
    <cellStyle name="Besuchter Hyperlink" xfId="1173" builtinId="9" hidden="1"/>
    <cellStyle name="Besuchter Hyperlink" xfId="1174" builtinId="9" hidden="1"/>
    <cellStyle name="Besuchter Hyperlink" xfId="1175" builtinId="9" hidden="1"/>
    <cellStyle name="Besuchter Hyperlink" xfId="1176" builtinId="9" hidden="1"/>
    <cellStyle name="Besuchter Hyperlink" xfId="1177" builtinId="9" hidden="1"/>
    <cellStyle name="Besuchter Hyperlink" xfId="1178" builtinId="9" hidden="1"/>
    <cellStyle name="Besuchter Hyperlink" xfId="1179" builtinId="9" hidden="1"/>
    <cellStyle name="Besuchter Hyperlink" xfId="1180" builtinId="9" hidden="1"/>
    <cellStyle name="Besuchter Hyperlink" xfId="1181" builtinId="9" hidden="1"/>
    <cellStyle name="Besuchter Hyperlink" xfId="1182" builtinId="9" hidden="1"/>
    <cellStyle name="Besuchter Hyperlink" xfId="1183" builtinId="9" hidden="1"/>
    <cellStyle name="Besuchter Hyperlink" xfId="1184" builtinId="9" hidden="1"/>
    <cellStyle name="Besuchter Hyperlink" xfId="1185" builtinId="9" hidden="1"/>
    <cellStyle name="Besuchter Hyperlink" xfId="1186" builtinId="9" hidden="1"/>
    <cellStyle name="Besuchter Hyperlink" xfId="1187" builtinId="9" hidden="1"/>
    <cellStyle name="Besuchter Hyperlink" xfId="1188" builtinId="9" hidden="1"/>
    <cellStyle name="Besuchter Hyperlink" xfId="1189" builtinId="9" hidden="1"/>
    <cellStyle name="Besuchter Hyperlink" xfId="1190" builtinId="9" hidden="1"/>
    <cellStyle name="Besuchter Hyperlink" xfId="1191" builtinId="9" hidden="1"/>
    <cellStyle name="Besuchter Hyperlink" xfId="1192" builtinId="9" hidden="1"/>
    <cellStyle name="Besuchter Hyperlink" xfId="1193" builtinId="9" hidden="1"/>
    <cellStyle name="Besuchter Hyperlink" xfId="1194" builtinId="9" hidden="1"/>
    <cellStyle name="Besuchter Hyperlink" xfId="1195" builtinId="9" hidden="1"/>
    <cellStyle name="Besuchter Hyperlink" xfId="1196" builtinId="9" hidden="1"/>
    <cellStyle name="Besuchter Hyperlink" xfId="1197" builtinId="9" hidden="1"/>
    <cellStyle name="Besuchter Hyperlink" xfId="1198" builtinId="9" hidden="1"/>
    <cellStyle name="Besuchter Hyperlink" xfId="1199" builtinId="9" hidden="1"/>
    <cellStyle name="Besuchter Hyperlink" xfId="1200" builtinId="9" hidden="1"/>
    <cellStyle name="Besuchter Hyperlink" xfId="1201" builtinId="9" hidden="1"/>
    <cellStyle name="Besuchter Hyperlink" xfId="1202" builtinId="9" hidden="1"/>
    <cellStyle name="Besuchter Hyperlink" xfId="1203" builtinId="9" hidden="1"/>
    <cellStyle name="Besuchter Hyperlink" xfId="1204" builtinId="9" hidden="1"/>
    <cellStyle name="Besuchter Hyperlink" xfId="1205" builtinId="9" hidden="1"/>
    <cellStyle name="Besuchter Hyperlink" xfId="1206" builtinId="9" hidden="1"/>
    <cellStyle name="Besuchter Hyperlink" xfId="1207" builtinId="9" hidden="1"/>
    <cellStyle name="Besuchter Hyperlink" xfId="1208" builtinId="9" hidden="1"/>
    <cellStyle name="Besuchter Hyperlink" xfId="1209" builtinId="9" hidden="1"/>
    <cellStyle name="Besuchter Hyperlink" xfId="1210" builtinId="9" hidden="1"/>
    <cellStyle name="Besuchter Hyperlink" xfId="1211" builtinId="9" hidden="1"/>
    <cellStyle name="Besuchter Hyperlink" xfId="1212" builtinId="9" hidden="1"/>
    <cellStyle name="Besuchter Hyperlink" xfId="1213" builtinId="9" hidden="1"/>
    <cellStyle name="Besuchter Hyperlink" xfId="1214" builtinId="9" hidden="1"/>
    <cellStyle name="Besuchter Hyperlink" xfId="1215" builtinId="9" hidden="1"/>
    <cellStyle name="Besuchter Hyperlink" xfId="1216" builtinId="9" hidden="1"/>
    <cellStyle name="Besuchter Hyperlink" xfId="1217" builtinId="9" hidden="1"/>
    <cellStyle name="Besuchter Hyperlink" xfId="1218" builtinId="9" hidden="1"/>
    <cellStyle name="Besuchter Hyperlink" xfId="1219" builtinId="9" hidden="1"/>
    <cellStyle name="Besuchter Hyperlink" xfId="1220" builtinId="9" hidden="1"/>
    <cellStyle name="Besuchter Hyperlink" xfId="1221" builtinId="9" hidden="1"/>
    <cellStyle name="Besuchter Hyperlink" xfId="1222" builtinId="9" hidden="1"/>
    <cellStyle name="Besuchter Hyperlink" xfId="1223" builtinId="9" hidden="1"/>
    <cellStyle name="Besuchter Hyperlink" xfId="1224" builtinId="9" hidden="1"/>
    <cellStyle name="Besuchter Hyperlink" xfId="1225" builtinId="9" hidden="1"/>
    <cellStyle name="Besuchter Hyperlink" xfId="1226" builtinId="9" hidden="1"/>
    <cellStyle name="Besuchter Hyperlink" xfId="1227" builtinId="9" hidden="1"/>
    <cellStyle name="Besuchter Hyperlink" xfId="1228" builtinId="9" hidden="1"/>
    <cellStyle name="Besuchter Hyperlink" xfId="1229" builtinId="9" hidden="1"/>
    <cellStyle name="Besuchter Hyperlink" xfId="1230" builtinId="9" hidden="1"/>
    <cellStyle name="Besuchter Hyperlink" xfId="1231" builtinId="9" hidden="1"/>
    <cellStyle name="Besuchter Hyperlink" xfId="1232" builtinId="9" hidden="1"/>
    <cellStyle name="Besuchter Hyperlink" xfId="1233" builtinId="9" hidden="1"/>
    <cellStyle name="Besuchter Hyperlink" xfId="1234" builtinId="9" hidden="1"/>
    <cellStyle name="Besuchter Hyperlink" xfId="1235" builtinId="9" hidden="1"/>
    <cellStyle name="Besuchter Hyperlink" xfId="1236" builtinId="9" hidden="1"/>
    <cellStyle name="Besuchter Hyperlink" xfId="1237" builtinId="9" hidden="1"/>
    <cellStyle name="Besuchter Hyperlink" xfId="1238" builtinId="9" hidden="1"/>
    <cellStyle name="Besuchter Hyperlink" xfId="1239" builtinId="9" hidden="1"/>
    <cellStyle name="Besuchter Hyperlink" xfId="1240" builtinId="9" hidden="1"/>
    <cellStyle name="Besuchter Hyperlink" xfId="1241" builtinId="9" hidden="1"/>
    <cellStyle name="Besuchter Hyperlink" xfId="1242" builtinId="9" hidden="1"/>
    <cellStyle name="Besuchter Hyperlink" xfId="1243" builtinId="9" hidden="1"/>
    <cellStyle name="Besuchter Hyperlink" xfId="1244" builtinId="9" hidden="1"/>
    <cellStyle name="Besuchter Hyperlink" xfId="1245" builtinId="9" hidden="1"/>
    <cellStyle name="Besuchter Hyperlink" xfId="1246" builtinId="9" hidden="1"/>
    <cellStyle name="Besuchter Hyperlink" xfId="1247" builtinId="9" hidden="1"/>
    <cellStyle name="Besuchter Hyperlink" xfId="1248" builtinId="9" hidden="1"/>
    <cellStyle name="Besuchter Hyperlink" xfId="1249" builtinId="9" hidden="1"/>
    <cellStyle name="Besuchter Hyperlink" xfId="1250" builtinId="9" hidden="1"/>
    <cellStyle name="Besuchter Hyperlink" xfId="1251" builtinId="9" hidden="1"/>
    <cellStyle name="Besuchter Hyperlink" xfId="1252" builtinId="9" hidden="1"/>
    <cellStyle name="Besuchter Hyperlink" xfId="1253" builtinId="9" hidden="1"/>
    <cellStyle name="Besuchter Hyperlink" xfId="1254" builtinId="9" hidden="1"/>
    <cellStyle name="Besuchter Hyperlink" xfId="1255" builtinId="9" hidden="1"/>
    <cellStyle name="Besuchter Hyperlink" xfId="1256" builtinId="9" hidden="1"/>
    <cellStyle name="Besuchter Hyperlink" xfId="1257" builtinId="9" hidden="1"/>
    <cellStyle name="Besuchter Hyperlink" xfId="1258" builtinId="9" hidden="1"/>
    <cellStyle name="Besuchter Hyperlink" xfId="1259" builtinId="9" hidden="1"/>
    <cellStyle name="Besuchter Hyperlink" xfId="1260" builtinId="9" hidden="1"/>
    <cellStyle name="Besuchter Hyperlink" xfId="1261" builtinId="9" hidden="1"/>
    <cellStyle name="Besuchter Hyperlink" xfId="1262" builtinId="9" hidden="1"/>
    <cellStyle name="Besuchter Hyperlink" xfId="1263" builtinId="9" hidden="1"/>
    <cellStyle name="Besuchter Hyperlink" xfId="1264" builtinId="9" hidden="1"/>
    <cellStyle name="Besuchter Hyperlink" xfId="1265" builtinId="9" hidden="1"/>
    <cellStyle name="Besuchter Hyperlink" xfId="1266" builtinId="9" hidden="1"/>
    <cellStyle name="Besuchter Hyperlink" xfId="1267" builtinId="9" hidden="1"/>
    <cellStyle name="Besuchter Hyperlink" xfId="1268" builtinId="9" hidden="1"/>
    <cellStyle name="Besuchter Hyperlink" xfId="1269" builtinId="9" hidden="1"/>
    <cellStyle name="Besuchter Hyperlink" xfId="1270" builtinId="9" hidden="1"/>
    <cellStyle name="Besuchter Hyperlink" xfId="1271" builtinId="9" hidden="1"/>
    <cellStyle name="Besuchter Hyperlink" xfId="1272" builtinId="9" hidden="1"/>
    <cellStyle name="Besuchter Hyperlink" xfId="1273" builtinId="9" hidden="1"/>
    <cellStyle name="Besuchter Hyperlink" xfId="1274" builtinId="9" hidden="1"/>
    <cellStyle name="Besuchter Hyperlink" xfId="1275" builtinId="9" hidden="1"/>
    <cellStyle name="Besuchter Hyperlink" xfId="1276" builtinId="9" hidden="1"/>
    <cellStyle name="Besuchter Hyperlink" xfId="1277" builtinId="9" hidden="1"/>
    <cellStyle name="Besuchter Hyperlink" xfId="1278" builtinId="9" hidden="1"/>
    <cellStyle name="Besuchter Hyperlink" xfId="1279" builtinId="9" hidden="1"/>
    <cellStyle name="Besuchter Hyperlink" xfId="1280" builtinId="9" hidden="1"/>
    <cellStyle name="Besuchter Hyperlink" xfId="1281" builtinId="9" hidden="1"/>
    <cellStyle name="Besuchter Hyperlink" xfId="1282" builtinId="9" hidden="1"/>
    <cellStyle name="Besuchter Hyperlink" xfId="1283" builtinId="9" hidden="1"/>
    <cellStyle name="Besuchter Hyperlink" xfId="1284" builtinId="9" hidden="1"/>
    <cellStyle name="Besuchter Hyperlink" xfId="1285" builtinId="9" hidden="1"/>
    <cellStyle name="Besuchter Hyperlink" xfId="1286" builtinId="9" hidden="1"/>
    <cellStyle name="Besuchter Hyperlink" xfId="1287" builtinId="9" hidden="1"/>
    <cellStyle name="Besuchter Hyperlink" xfId="1288" builtinId="9" hidden="1"/>
    <cellStyle name="Besuchter Hyperlink" xfId="1289" builtinId="9" hidden="1"/>
    <cellStyle name="Besuchter Hyperlink" xfId="1290" builtinId="9" hidden="1"/>
    <cellStyle name="Besuchter Hyperlink" xfId="1291" builtinId="9" hidden="1"/>
    <cellStyle name="Besuchter Hyperlink" xfId="1292" builtinId="9" hidden="1"/>
    <cellStyle name="Besuchter Hyperlink" xfId="1293" builtinId="9" hidden="1"/>
    <cellStyle name="Besuchter Hyperlink" xfId="1294" builtinId="9" hidden="1"/>
    <cellStyle name="Besuchter Hyperlink" xfId="1295" builtinId="9" hidden="1"/>
    <cellStyle name="Besuchter Hyperlink" xfId="1296" builtinId="9" hidden="1"/>
    <cellStyle name="Besuchter Hyperlink" xfId="1297" builtinId="9" hidden="1"/>
    <cellStyle name="Besuchter Hyperlink" xfId="1298" builtinId="9" hidden="1"/>
    <cellStyle name="Besuchter Hyperlink" xfId="1299" builtinId="9" hidden="1"/>
    <cellStyle name="Besuchter Hyperlink" xfId="1300" builtinId="9" hidden="1"/>
    <cellStyle name="Besuchter Hyperlink" xfId="1301" builtinId="9" hidden="1"/>
    <cellStyle name="Besuchter Hyperlink" xfId="1302" builtinId="9" hidden="1"/>
    <cellStyle name="Besuchter Hyperlink" xfId="1303" builtinId="9" hidden="1"/>
    <cellStyle name="Besuchter Hyperlink" xfId="1304" builtinId="9" hidden="1"/>
    <cellStyle name="Besuchter Hyperlink" xfId="1305" builtinId="9" hidden="1"/>
    <cellStyle name="Besuchter Hyperlink" xfId="1306" builtinId="9" hidden="1"/>
    <cellStyle name="Besuchter Hyperlink" xfId="1307" builtinId="9" hidden="1"/>
    <cellStyle name="Besuchter Hyperlink" xfId="1308" builtinId="9" hidden="1"/>
    <cellStyle name="Besuchter Hyperlink" xfId="1309" builtinId="9" hidden="1"/>
    <cellStyle name="Besuchter Hyperlink" xfId="1310" builtinId="9" hidden="1"/>
    <cellStyle name="Besuchter Hyperlink" xfId="1311" builtinId="9" hidden="1"/>
    <cellStyle name="Besuchter Hyperlink" xfId="1312" builtinId="9" hidden="1"/>
    <cellStyle name="Besuchter Hyperlink" xfId="1313" builtinId="9" hidden="1"/>
    <cellStyle name="Besuchter Hyperlink" xfId="1314" builtinId="9" hidden="1"/>
    <cellStyle name="Besuchter Hyperlink" xfId="1315" builtinId="9" hidden="1"/>
    <cellStyle name="Besuchter Hyperlink" xfId="1316" builtinId="9" hidden="1"/>
    <cellStyle name="Besuchter Hyperlink" xfId="1317" builtinId="9" hidden="1"/>
    <cellStyle name="Besuchter Hyperlink" xfId="1318" builtinId="9" hidden="1"/>
    <cellStyle name="Besuchter Hyperlink" xfId="1319" builtinId="9" hidden="1"/>
    <cellStyle name="Besuchter Hyperlink" xfId="1320" builtinId="9" hidden="1"/>
    <cellStyle name="Besuchter Hyperlink" xfId="1321" builtinId="9" hidden="1"/>
    <cellStyle name="Besuchter Hyperlink" xfId="1322" builtinId="9" hidden="1"/>
    <cellStyle name="Besuchter Hyperlink" xfId="1323" builtinId="9" hidden="1"/>
    <cellStyle name="Besuchter Hyperlink" xfId="1324" builtinId="9" hidden="1"/>
    <cellStyle name="Besuchter Hyperlink" xfId="1325" builtinId="9" hidden="1"/>
    <cellStyle name="Besuchter Hyperlink" xfId="1326" builtinId="9" hidden="1"/>
    <cellStyle name="Besuchter Hyperlink" xfId="1327" builtinId="9" hidden="1"/>
    <cellStyle name="Besuchter Hyperlink" xfId="1328" builtinId="9" hidden="1"/>
    <cellStyle name="Besuchter Hyperlink" xfId="1329" builtinId="9" hidden="1"/>
    <cellStyle name="Besuchter Hyperlink" xfId="1330" builtinId="9" hidden="1"/>
    <cellStyle name="Besuchter Hyperlink" xfId="1331" builtinId="9" hidden="1"/>
    <cellStyle name="Besuchter Hyperlink" xfId="1332" builtinId="9" hidden="1"/>
    <cellStyle name="Besuchter Hyperlink" xfId="1333" builtinId="9" hidden="1"/>
    <cellStyle name="Besuchter Hyperlink" xfId="1334" builtinId="9" hidden="1"/>
    <cellStyle name="Besuchter Hyperlink" xfId="1335" builtinId="9" hidden="1"/>
    <cellStyle name="Besuchter Hyperlink" xfId="1336" builtinId="9" hidden="1"/>
    <cellStyle name="Besuchter Hyperlink" xfId="1337" builtinId="9" hidden="1"/>
    <cellStyle name="Besuchter Hyperlink" xfId="1338" builtinId="9" hidden="1"/>
    <cellStyle name="Besuchter Hyperlink" xfId="1339" builtinId="9" hidden="1"/>
    <cellStyle name="Besuchter Hyperlink" xfId="1340" builtinId="9" hidden="1"/>
    <cellStyle name="Besuchter Hyperlink" xfId="1341" builtinId="9" hidden="1"/>
    <cellStyle name="Besuchter Hyperlink" xfId="1342" builtinId="9" hidden="1"/>
    <cellStyle name="Besuchter Hyperlink" xfId="1343" builtinId="9" hidden="1"/>
    <cellStyle name="Besuchter Hyperlink" xfId="1344" builtinId="9" hidden="1"/>
    <cellStyle name="Besuchter Hyperlink" xfId="1345" builtinId="9" hidden="1"/>
    <cellStyle name="Besuchter Hyperlink" xfId="1346" builtinId="9" hidden="1"/>
    <cellStyle name="Besuchter Hyperlink" xfId="1347" builtinId="9" hidden="1"/>
    <cellStyle name="Besuchter Hyperlink" xfId="1348" builtinId="9" hidden="1"/>
    <cellStyle name="Besuchter Hyperlink" xfId="1349" builtinId="9" hidden="1"/>
    <cellStyle name="Besuchter Hyperlink" xfId="1350" builtinId="9" hidden="1"/>
    <cellStyle name="Besuchter Hyperlink" xfId="1351" builtinId="9" hidden="1"/>
    <cellStyle name="Besuchter Hyperlink" xfId="1352" builtinId="9" hidden="1"/>
    <cellStyle name="Besuchter Hyperlink" xfId="1353" builtinId="9" hidden="1"/>
    <cellStyle name="Besuchter Hyperlink" xfId="1354" builtinId="9" hidden="1"/>
    <cellStyle name="Besuchter Hyperlink" xfId="1355" builtinId="9" hidden="1"/>
    <cellStyle name="Besuchter Hyperlink" xfId="1356" builtinId="9" hidden="1"/>
    <cellStyle name="Besuchter Hyperlink" xfId="1357" builtinId="9" hidden="1"/>
    <cellStyle name="Besuchter Hyperlink" xfId="1358" builtinId="9" hidden="1"/>
    <cellStyle name="Besuchter Hyperlink" xfId="1359" builtinId="9" hidden="1"/>
    <cellStyle name="Besuchter Hyperlink" xfId="1360" builtinId="9" hidden="1"/>
    <cellStyle name="Besuchter Hyperlink" xfId="1361" builtinId="9" hidden="1"/>
    <cellStyle name="Besuchter Hyperlink" xfId="1362" builtinId="9" hidden="1"/>
    <cellStyle name="Besuchter Hyperlink" xfId="1363" builtinId="9" hidden="1"/>
    <cellStyle name="Besuchter Hyperlink" xfId="1364" builtinId="9" hidden="1"/>
    <cellStyle name="Besuchter Hyperlink" xfId="1365" builtinId="9" hidden="1"/>
    <cellStyle name="Besuchter Hyperlink" xfId="1366" builtinId="9" hidden="1"/>
    <cellStyle name="Besuchter Hyperlink" xfId="1367" builtinId="9" hidden="1"/>
    <cellStyle name="Besuchter Hyperlink" xfId="1368" builtinId="9" hidden="1"/>
    <cellStyle name="Besuchter Hyperlink" xfId="1369" builtinId="9" hidden="1"/>
    <cellStyle name="Besuchter Hyperlink" xfId="1370" builtinId="9" hidden="1"/>
    <cellStyle name="Besuchter Hyperlink" xfId="1371" builtinId="9" hidden="1"/>
    <cellStyle name="Besuchter Hyperlink" xfId="1372" builtinId="9" hidden="1"/>
    <cellStyle name="Besuchter Hyperlink" xfId="1373" builtinId="9" hidden="1"/>
    <cellStyle name="Besuchter Hyperlink" xfId="1374" builtinId="9" hidden="1"/>
    <cellStyle name="Besuchter Hyperlink" xfId="1375" builtinId="9" hidden="1"/>
    <cellStyle name="Besuchter Hyperlink" xfId="1376" builtinId="9" hidden="1"/>
    <cellStyle name="Besuchter Hyperlink" xfId="1377" builtinId="9" hidden="1"/>
    <cellStyle name="Besuchter Hyperlink" xfId="1378" builtinId="9" hidden="1"/>
    <cellStyle name="Besuchter Hyperlink" xfId="1379" builtinId="9" hidden="1"/>
    <cellStyle name="Besuchter Hyperlink" xfId="1380" builtinId="9" hidden="1"/>
    <cellStyle name="Besuchter Hyperlink" xfId="1381" builtinId="9" hidden="1"/>
    <cellStyle name="Besuchter Hyperlink" xfId="1382" builtinId="9" hidden="1"/>
    <cellStyle name="Besuchter Hyperlink" xfId="1383" builtinId="9" hidden="1"/>
    <cellStyle name="Besuchter Hyperlink" xfId="1384" builtinId="9" hidden="1"/>
    <cellStyle name="Besuchter Hyperlink" xfId="1385" builtinId="9" hidden="1"/>
    <cellStyle name="Besuchter Hyperlink" xfId="1386" builtinId="9" hidden="1"/>
    <cellStyle name="Besuchter Hyperlink" xfId="1387" builtinId="9" hidden="1"/>
    <cellStyle name="Besuchter Hyperlink" xfId="1388" builtinId="9" hidden="1"/>
    <cellStyle name="Besuchter Hyperlink" xfId="1389" builtinId="9" hidden="1"/>
    <cellStyle name="Besuchter Hyperlink" xfId="1390" builtinId="9" hidden="1"/>
    <cellStyle name="Besuchter Hyperlink" xfId="1391" builtinId="9" hidden="1"/>
    <cellStyle name="Besuchter Hyperlink" xfId="1392" builtinId="9" hidden="1"/>
    <cellStyle name="Besuchter Hyperlink" xfId="1393" builtinId="9" hidden="1"/>
    <cellStyle name="Besuchter Hyperlink" xfId="1394" builtinId="9" hidden="1"/>
    <cellStyle name="Besuchter Hyperlink" xfId="1395" builtinId="9" hidden="1"/>
    <cellStyle name="Besuchter Hyperlink" xfId="1396" builtinId="9" hidden="1"/>
    <cellStyle name="Besuchter Hyperlink" xfId="1397" builtinId="9" hidden="1"/>
    <cellStyle name="Besuchter Hyperlink" xfId="1398" builtinId="9" hidden="1"/>
    <cellStyle name="Besuchter Hyperlink" xfId="1399" builtinId="9" hidden="1"/>
    <cellStyle name="Besuchter Hyperlink" xfId="1400" builtinId="9" hidden="1"/>
    <cellStyle name="Besuchter Hyperlink" xfId="1401" builtinId="9" hidden="1"/>
    <cellStyle name="Besuchter Hyperlink" xfId="1402" builtinId="9" hidden="1"/>
    <cellStyle name="Besuchter Hyperlink" xfId="1403" builtinId="9" hidden="1"/>
    <cellStyle name="Besuchter Hyperlink" xfId="1404" builtinId="9" hidden="1"/>
    <cellStyle name="Besuchter Hyperlink" xfId="1405" builtinId="9" hidden="1"/>
    <cellStyle name="Besuchter Hyperlink" xfId="1406" builtinId="9" hidden="1"/>
    <cellStyle name="Besuchter Hyperlink" xfId="1407" builtinId="9" hidden="1"/>
    <cellStyle name="Besuchter Hyperlink" xfId="1408" builtinId="9" hidden="1"/>
    <cellStyle name="Besuchter Hyperlink" xfId="1409" builtinId="9" hidden="1"/>
    <cellStyle name="Besuchter Hyperlink" xfId="1410" builtinId="9" hidden="1"/>
    <cellStyle name="Besuchter Hyperlink" xfId="1411" builtinId="9" hidden="1"/>
    <cellStyle name="Besuchter Hyperlink" xfId="1412" builtinId="9" hidden="1"/>
    <cellStyle name="Besuchter Hyperlink" xfId="1413" builtinId="9" hidden="1"/>
    <cellStyle name="Besuchter Hyperlink" xfId="1414" builtinId="9" hidden="1"/>
    <cellStyle name="Besuchter Hyperlink" xfId="1415" builtinId="9" hidden="1"/>
    <cellStyle name="Besuchter Hyperlink" xfId="1416" builtinId="9" hidden="1"/>
    <cellStyle name="Besuchter Hyperlink" xfId="1417" builtinId="9" hidden="1"/>
    <cellStyle name="Besuchter Hyperlink" xfId="1418" builtinId="9" hidden="1"/>
    <cellStyle name="Besuchter Hyperlink" xfId="1419" builtinId="9" hidden="1"/>
    <cellStyle name="Besuchter Hyperlink" xfId="1420" builtinId="9" hidden="1"/>
    <cellStyle name="Besuchter Hyperlink" xfId="1421" builtinId="9" hidden="1"/>
    <cellStyle name="Besuchter Hyperlink" xfId="1422" builtinId="9" hidden="1"/>
    <cellStyle name="Besuchter Hyperlink" xfId="1423" builtinId="9" hidden="1"/>
    <cellStyle name="Besuchter Hyperlink" xfId="1424" builtinId="9" hidden="1"/>
    <cellStyle name="Besuchter Hyperlink" xfId="1425" builtinId="9" hidden="1"/>
    <cellStyle name="Besuchter Hyperlink" xfId="1426" builtinId="9" hidden="1"/>
    <cellStyle name="Besuchter Hyperlink" xfId="1427" builtinId="9" hidden="1"/>
    <cellStyle name="Besuchter Hyperlink" xfId="1428" builtinId="9" hidden="1"/>
    <cellStyle name="Besuchter Hyperlink" xfId="1429" builtinId="9" hidden="1"/>
    <cellStyle name="Besuchter Hyperlink" xfId="1430" builtinId="9" hidden="1"/>
    <cellStyle name="Besuchter Hyperlink" xfId="1431" builtinId="9" hidden="1"/>
    <cellStyle name="Besuchter Hyperlink" xfId="1432" builtinId="9" hidden="1"/>
    <cellStyle name="Besuchter Hyperlink" xfId="1433" builtinId="9" hidden="1"/>
    <cellStyle name="Besuchter Hyperlink" xfId="1434" builtinId="9" hidden="1"/>
    <cellStyle name="Besuchter Hyperlink" xfId="1435" builtinId="9" hidden="1"/>
    <cellStyle name="Besuchter Hyperlink" xfId="1436" builtinId="9" hidden="1"/>
    <cellStyle name="Besuchter Hyperlink" xfId="1437" builtinId="9" hidden="1"/>
    <cellStyle name="Besuchter Hyperlink" xfId="1438" builtinId="9" hidden="1"/>
    <cellStyle name="Besuchter Hyperlink" xfId="1439" builtinId="9" hidden="1"/>
    <cellStyle name="Besuchter Hyperlink" xfId="1440" builtinId="9" hidden="1"/>
    <cellStyle name="Besuchter Hyperlink" xfId="1441" builtinId="9" hidden="1"/>
    <cellStyle name="Besuchter Hyperlink" xfId="1442" builtinId="9" hidden="1"/>
    <cellStyle name="Besuchter Hyperlink" xfId="1443" builtinId="9" hidden="1"/>
    <cellStyle name="Besuchter Hyperlink" xfId="1444" builtinId="9" hidden="1"/>
    <cellStyle name="Besuchter Hyperlink" xfId="1445" builtinId="9" hidden="1"/>
    <cellStyle name="Besuchter Hyperlink" xfId="1446" builtinId="9" hidden="1"/>
    <cellStyle name="Besuchter Hyperlink" xfId="1447" builtinId="9" hidden="1"/>
    <cellStyle name="Besuchter Hyperlink" xfId="1448" builtinId="9" hidden="1"/>
    <cellStyle name="Besuchter Hyperlink" xfId="1449" builtinId="9" hidden="1"/>
    <cellStyle name="Besuchter Hyperlink" xfId="1450" builtinId="9" hidden="1"/>
    <cellStyle name="Besuchter Hyperlink" xfId="1451" builtinId="9" hidden="1"/>
    <cellStyle name="Besuchter Hyperlink" xfId="1452" builtinId="9" hidden="1"/>
    <cellStyle name="Besuchter Hyperlink" xfId="1453" builtinId="9" hidden="1"/>
    <cellStyle name="Besuchter Hyperlink" xfId="1454" builtinId="9" hidden="1"/>
    <cellStyle name="Besuchter Hyperlink" xfId="1455" builtinId="9" hidden="1"/>
    <cellStyle name="Besuchter Hyperlink" xfId="1456" builtinId="9" hidden="1"/>
    <cellStyle name="Link" xfId="1" builtinId="8" hidden="1"/>
    <cellStyle name="Link" xfId="3" builtinId="8" hidden="1"/>
    <cellStyle name="Link" xfId="5" builtinId="8" hidden="1"/>
    <cellStyle name="Link" xfId="7" builtinId="8" hidden="1"/>
    <cellStyle name="Link" xfId="9" builtinId="8" hidden="1"/>
    <cellStyle name="Link" xfId="11" builtinId="8"/>
    <cellStyle name="Prozent" xfId="73" builtinId="5"/>
    <cellStyle name="Standard" xfId="0" builtinId="0"/>
    <cellStyle name="Währung" xfId="72" builtinId="4"/>
  </cellStyles>
  <dxfs count="127">
    <dxf>
      <font>
        <u/>
        <color rgb="FF0000FF"/>
      </font>
      <fill>
        <patternFill patternType="solid">
          <fgColor indexed="64"/>
          <bgColor rgb="FFFFFF00"/>
        </patternFill>
      </fill>
    </dxf>
    <dxf>
      <font>
        <color theme="0"/>
      </font>
      <fill>
        <patternFill>
          <bgColor theme="0"/>
        </patternFill>
      </fill>
      <border>
        <left/>
        <right/>
        <top/>
        <bottom/>
        <vertical/>
        <horizontal/>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theme="0"/>
      </font>
      <fill>
        <patternFill>
          <bgColor theme="0"/>
        </patternFill>
      </fill>
      <border>
        <left/>
        <right/>
        <top/>
        <bottom/>
        <vertical/>
        <horizontal/>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theme="0"/>
      </font>
      <fill>
        <patternFill>
          <bgColor theme="0"/>
        </patternFill>
      </fill>
      <border>
        <left/>
        <right/>
        <top/>
        <bottom/>
        <vertical/>
        <horizontal/>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border>
        <left/>
        <right/>
        <top/>
        <bottom/>
      </border>
    </dxf>
    <dxf>
      <font>
        <color rgb="FF3366FF"/>
      </font>
      <fill>
        <patternFill patternType="solid">
          <fgColor indexed="64"/>
          <bgColor rgb="FFFFFF00"/>
        </patternFill>
      </fill>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color theme="0"/>
      </font>
      <fill>
        <patternFill patternType="solid">
          <fgColor indexed="64"/>
          <bgColor theme="0"/>
        </patternFill>
      </fill>
      <border>
        <left/>
        <right/>
        <top/>
        <bottom/>
      </border>
    </dxf>
    <dxf>
      <font>
        <color theme="0"/>
      </font>
      <fill>
        <patternFill patternType="solid">
          <fgColor indexed="64"/>
          <bgColor theme="0"/>
        </patternFill>
      </fill>
      <border>
        <left/>
        <right/>
        <top/>
        <bottom/>
      </border>
    </dxf>
    <dxf>
      <font>
        <u/>
        <color rgb="FF0000FF"/>
      </font>
      <fill>
        <patternFill patternType="solid">
          <fgColor indexed="64"/>
          <bgColor rgb="FFFFFF00"/>
        </patternFill>
      </fill>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
      <font>
        <u/>
        <color rgb="FF0000FF"/>
      </font>
      <fill>
        <patternFill patternType="solid">
          <fgColor indexed="64"/>
          <bgColor rgb="FFFFFF00"/>
        </patternFill>
      </fill>
    </dxf>
    <dxf>
      <font>
        <u/>
        <color rgb="FF0000FF"/>
      </font>
      <fill>
        <patternFill patternType="solid">
          <fgColor indexed="64"/>
          <bgColor rgb="FFFFFF00"/>
        </patternFill>
      </fill>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color auto="1"/>
      </font>
      <fill>
        <patternFill patternType="solid">
          <fgColor indexed="64"/>
          <bgColor rgb="FFFFFF00"/>
        </patternFill>
      </fill>
      <border>
        <left/>
        <right/>
        <top/>
        <bottom/>
      </border>
    </dxf>
    <dxf>
      <font>
        <u/>
        <color rgb="FF0000FF"/>
      </font>
      <fill>
        <patternFill patternType="solid">
          <fgColor indexed="64"/>
          <bgColor rgb="FFFFFF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2736850</xdr:colOff>
      <xdr:row>3</xdr:row>
      <xdr:rowOff>19991</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2717800" cy="5724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2"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5724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2"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5724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2"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5724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3</xdr:row>
      <xdr:rowOff>941</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6350</xdr:colOff>
      <xdr:row>33</xdr:row>
      <xdr:rowOff>82550</xdr:rowOff>
    </xdr:from>
    <xdr:to>
      <xdr:col>6</xdr:col>
      <xdr:colOff>0</xdr:colOff>
      <xdr:row>34</xdr:row>
      <xdr:rowOff>419100</xdr:rowOff>
    </xdr:to>
    <xdr:cxnSp macro="">
      <xdr:nvCxnSpPr>
        <xdr:cNvPr id="3" name="Gerade Verbindung mit Pfeil 2"/>
        <xdr:cNvCxnSpPr/>
      </xdr:nvCxnSpPr>
      <xdr:spPr>
        <a:xfrm flipH="1" flipV="1">
          <a:off x="6178550" y="7499350"/>
          <a:ext cx="1263650" cy="508000"/>
        </a:xfrm>
        <a:prstGeom prst="straightConnector1">
          <a:avLst/>
        </a:prstGeom>
        <a:ln w="6350">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2"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5724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5692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2"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5724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3</xdr:row>
      <xdr:rowOff>941</xdr:rowOff>
    </xdr:to>
    <xdr:pic>
      <xdr:nvPicPr>
        <xdr:cNvPr id="2"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5724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2"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5724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2717800</xdr:colOff>
      <xdr:row>3</xdr:row>
      <xdr:rowOff>7291</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3</xdr:row>
      <xdr:rowOff>941</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226366</xdr:rowOff>
    </xdr:to>
    <xdr:pic>
      <xdr:nvPicPr>
        <xdr:cNvPr id="4"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356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867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2717800</xdr:colOff>
      <xdr:row>2</xdr:row>
      <xdr:rowOff>254941</xdr:rowOff>
    </xdr:to>
    <xdr:pic>
      <xdr:nvPicPr>
        <xdr:cNvPr id="3" name="Picture 4" descr="Logo Schweizerische Eidgenossenschaf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7800" cy="64864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Klassisch 2">
      <a:maj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ils.braun@econlab.ch"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mailto:ppiprod@bfs.admin.ch"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C19"/>
  <sheetViews>
    <sheetView tabSelected="1" workbookViewId="0">
      <selection activeCell="C10" sqref="C10"/>
    </sheetView>
  </sheetViews>
  <sheetFormatPr baseColWidth="10" defaultColWidth="10.6640625" defaultRowHeight="12.75"/>
  <cols>
    <col min="1" max="1" width="50.6640625" style="236" customWidth="1"/>
    <col min="2" max="2" width="2.6640625" style="236" customWidth="1"/>
    <col min="3" max="3" width="32.6640625" style="236" customWidth="1"/>
    <col min="4" max="4" width="2.6640625" style="236" customWidth="1"/>
    <col min="5" max="5" width="32.6640625" style="236" customWidth="1"/>
    <col min="6" max="16384" width="10.6640625" style="236"/>
  </cols>
  <sheetData>
    <row r="1" spans="1:3" ht="15" customHeight="1"/>
    <row r="2" spans="1:3" ht="15" customHeight="1"/>
    <row r="3" spans="1:3" ht="15" customHeight="1"/>
    <row r="4" spans="1:3" ht="13.5" customHeight="1"/>
    <row r="5" spans="1:3" ht="13.5" customHeight="1"/>
    <row r="6" spans="1:3" ht="13.5" customHeight="1">
      <c r="A6" s="237" t="s">
        <v>550</v>
      </c>
      <c r="C6" s="238" t="s">
        <v>553</v>
      </c>
    </row>
    <row r="7" spans="1:3" ht="13.5" customHeight="1"/>
    <row r="8" spans="1:3" ht="13.5" customHeight="1">
      <c r="A8" s="238" t="s">
        <v>551</v>
      </c>
      <c r="B8" s="239"/>
      <c r="C8" s="134"/>
    </row>
    <row r="9" spans="1:3" ht="7.5" customHeight="1">
      <c r="A9" s="239"/>
      <c r="B9" s="239"/>
      <c r="C9" s="240"/>
    </row>
    <row r="10" spans="1:3" ht="13.5" customHeight="1">
      <c r="A10" s="238" t="s">
        <v>552</v>
      </c>
      <c r="B10" s="239"/>
      <c r="C10" s="134"/>
    </row>
    <row r="11" spans="1:3" s="241" customFormat="1" ht="13.5" customHeight="1"/>
    <row r="12" spans="1:3" s="241" customFormat="1" ht="13.5" customHeight="1">
      <c r="C12" s="183" t="str">
        <f>IF(COUNTIF(C8:C10,"")=3,"",txt!B222)</f>
        <v/>
      </c>
    </row>
    <row r="13" spans="1:3" s="241" customFormat="1" ht="13.5" customHeight="1"/>
    <row r="14" spans="1:3" s="241" customFormat="1" ht="13.5" customHeight="1"/>
    <row r="15" spans="1:3" s="241" customFormat="1" ht="13.5" customHeight="1"/>
    <row r="16" spans="1:3" s="241" customFormat="1" ht="13.5" customHeight="1"/>
    <row r="17" s="241" customFormat="1" ht="13.5" customHeight="1"/>
    <row r="18" s="241" customFormat="1"/>
    <row r="19" s="241" customFormat="1"/>
  </sheetData>
  <sheetProtection algorithmName="SHA-512" hashValue="LAAUMfG/OQdrEJy1HSsO+RHC+nvIziTqJ+LK7RYp7G+/3Rs2qoi0dPJQEDgi6JmgLJ8I4iUEjH874rwvLk/+fQ==" saltValue="WzIiLz8zLc8T0ZsUsBzeTA==" spinCount="100000" sheet="1" objects="1" scenarios="1"/>
  <dataValidations count="1">
    <dataValidation type="decimal" allowBlank="1" showInputMessage="1" showErrorMessage="1" sqref="C9">
      <formula1>0</formula1>
      <formula2>1</formula2>
    </dataValidation>
  </dataValidations>
  <hyperlinks>
    <hyperlink ref="C12" location="Intro!A1" display="Intro!A1"/>
  </hyperlinks>
  <pageMargins left="0.74803149606299213" right="0.74803149606299213" top="0.39370078740157483" bottom="0.19685039370078741" header="0.51181102362204722" footer="0.51181102362204722"/>
  <pageSetup paperSize="9" orientation="landscape" horizontalDpi="4294967292" verticalDpi="4294967292"/>
  <ignoredErrors>
    <ignoredError sqref="C12" unlockedFormula="1"/>
  </ignoredErrors>
  <drawing r:id="rId1"/>
  <extLst>
    <ext xmlns:x14="http://schemas.microsoft.com/office/spreadsheetml/2009/9/main" uri="{78C0D931-6437-407d-A8EE-F0AAD7539E65}">
      <x14:conditionalFormattings>
        <x14:conditionalFormatting xmlns:xm="http://schemas.microsoft.com/office/excel/2006/main">
          <x14:cfRule type="cellIs" priority="1" operator="equal" id="{9AC75A32-94D6-7C49-A081-7B38CBE51DD4}">
            <xm:f>txt!$B$222</xm:f>
            <x14:dxf>
              <font>
                <u/>
                <color rgb="FF0000FF"/>
              </font>
              <fill>
                <patternFill patternType="solid">
                  <fgColor indexed="64"/>
                  <bgColor rgb="FFFFFF00"/>
                </patternFill>
              </fill>
            </x14:dxf>
          </x14:cfRule>
          <xm:sqref>C12</xm:sqref>
        </x14:conditionalFormatting>
      </x14:conditionalFormatting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5" tint="0.39997558519241921"/>
    <pageSetUpPr fitToPage="1"/>
  </sheetPr>
  <dimension ref="A1:P61"/>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63" t="str">
        <f>txt!B47&amp;": "&amp;txt!B49</f>
        <v>Geschäftsfeld: Programmierungstätigkeiten</v>
      </c>
      <c r="B7" s="63"/>
      <c r="C7" s="63"/>
      <c r="D7" s="63"/>
      <c r="E7" s="63"/>
      <c r="F7" s="63"/>
      <c r="G7" s="63"/>
      <c r="H7" s="349" t="str">
        <f>" "&amp;REPT("|",INT(Steuerung!AF4*107))</f>
        <v xml:space="preserve"> </v>
      </c>
      <c r="I7" s="350"/>
      <c r="J7" s="350"/>
      <c r="K7" s="351"/>
      <c r="L7" s="63"/>
    </row>
    <row r="8" spans="1:16" ht="13.5" customHeight="1">
      <c r="A8" s="63" t="str">
        <f>txt!B48&amp;": "&amp;txt!B55</f>
        <v>Dienstleistungstyp: Software nach Kundenwunsch</v>
      </c>
      <c r="B8" s="63"/>
      <c r="C8" s="63"/>
      <c r="D8" s="63"/>
      <c r="E8" s="63"/>
      <c r="F8" s="63"/>
      <c r="G8" s="63"/>
      <c r="H8" s="63"/>
      <c r="I8" s="63"/>
      <c r="J8" s="63"/>
      <c r="K8" s="65" t="str">
        <f>IF(AND(COUNTIF($A$17:$A$25,"")=9,COUNTIF($A$30:$A$38,"")=9),txt!B228,IF(AND(SUM($C$17:$C$25)&lt;&gt;1,SUM($C$30:$C$38)&lt;&gt;1),txt!B227,IF(AND(COUNTIF($D$17,"")=1,COUNTIF($D$30,"")=1),txt!B235,IF(AND(COUNTIF($E$17:$E$25,"")=9,COUNTIF($E$30:$E$38,"")=9),txt!B233,IF(AND(COUNTIF($F$17:$F$25,"")=9,COUNTIF($F$30:$F$38,"")=9),txt!B234,IF(AND(COUNTIF($H$17:$H$25,"")=9,COUNTIF($H$30:$H$38,"")=9),txt!B251,IF(AND(COUNTIF($I$17:$I$25,"")=9,COUNTIF($I$30:$I$38,"")=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txt!B158</f>
        <v>Kunde im Ausland</v>
      </c>
      <c r="H13" s="57"/>
    </row>
    <row r="14" spans="1:16" ht="13.5" customHeight="1"/>
    <row r="15" spans="1:16" ht="13.5" customHeight="1">
      <c r="A15" s="69" t="str">
        <f>txt!B107&amp;"-"&amp;txt!B113</f>
        <v>Plan-Bereich</v>
      </c>
      <c r="B15" s="89"/>
      <c r="C15" s="118"/>
      <c r="D15" s="118"/>
      <c r="E15" s="118" t="str">
        <f>txt!B23</f>
        <v>März 2022</v>
      </c>
      <c r="F15" s="118" t="str">
        <f>txt!B24</f>
        <v>März 2021</v>
      </c>
      <c r="G15" s="119"/>
      <c r="H15" s="118" t="str">
        <f>E15</f>
        <v>März 2022</v>
      </c>
      <c r="I15" s="118" t="str">
        <f>F15</f>
        <v>März 2021</v>
      </c>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L16" s="120"/>
    </row>
    <row r="17" spans="1:12" ht="13.5" customHeight="1">
      <c r="A17" s="281" t="s">
        <v>662</v>
      </c>
      <c r="B17" s="89"/>
      <c r="C17" s="266"/>
      <c r="D17" s="305"/>
      <c r="E17" s="283"/>
      <c r="F17" s="283"/>
      <c r="G17" s="68"/>
      <c r="H17" s="266"/>
      <c r="I17" s="266"/>
      <c r="J17" s="68"/>
      <c r="L17" s="120"/>
    </row>
    <row r="18" spans="1:12" ht="7.5" customHeight="1">
      <c r="A18" s="60"/>
      <c r="B18" s="89"/>
      <c r="C18" s="120"/>
      <c r="D18" s="120"/>
      <c r="E18" s="122"/>
      <c r="F18" s="122"/>
      <c r="G18" s="68"/>
      <c r="H18" s="120"/>
      <c r="I18" s="120"/>
      <c r="J18" s="120"/>
      <c r="L18" s="120"/>
    </row>
    <row r="19" spans="1:12" ht="13.5" customHeight="1">
      <c r="A19" s="281" t="s">
        <v>663</v>
      </c>
      <c r="B19" s="89"/>
      <c r="C19" s="266"/>
      <c r="D19" s="121" t="str">
        <f>IF(C19="","",D17)</f>
        <v/>
      </c>
      <c r="E19" s="283"/>
      <c r="F19" s="283"/>
      <c r="G19" s="68"/>
      <c r="H19" s="266"/>
      <c r="I19" s="266"/>
      <c r="J19" s="68"/>
      <c r="L19" s="120"/>
    </row>
    <row r="20" spans="1:12" ht="7.5" customHeight="1">
      <c r="A20" s="60"/>
      <c r="B20" s="89"/>
      <c r="C20" s="120"/>
      <c r="D20" s="120"/>
      <c r="E20" s="122"/>
      <c r="F20" s="122"/>
      <c r="G20" s="68"/>
      <c r="H20" s="120"/>
      <c r="I20" s="120"/>
      <c r="J20" s="122"/>
      <c r="L20" s="120"/>
    </row>
    <row r="21" spans="1:12" ht="13.5" customHeight="1">
      <c r="A21" s="281" t="s">
        <v>664</v>
      </c>
      <c r="B21" s="89"/>
      <c r="C21" s="266"/>
      <c r="D21" s="121" t="str">
        <f>IF(C21="","",D19)</f>
        <v/>
      </c>
      <c r="E21" s="283"/>
      <c r="F21" s="283"/>
      <c r="G21" s="68"/>
      <c r="H21" s="266"/>
      <c r="I21" s="266"/>
      <c r="J21" s="68"/>
      <c r="L21" s="120"/>
    </row>
    <row r="22" spans="1:12" ht="7.5" customHeight="1">
      <c r="A22" s="60"/>
      <c r="B22" s="89"/>
      <c r="C22" s="120"/>
      <c r="D22" s="120"/>
      <c r="E22" s="122"/>
      <c r="F22" s="122"/>
      <c r="G22" s="68"/>
      <c r="H22" s="120"/>
      <c r="I22" s="120"/>
      <c r="J22" s="122"/>
      <c r="L22" s="120"/>
    </row>
    <row r="23" spans="1:12" ht="13.5" customHeight="1">
      <c r="A23" s="281"/>
      <c r="B23" s="89"/>
      <c r="C23" s="266"/>
      <c r="D23" s="121" t="str">
        <f>IF(C23="","",D21)</f>
        <v/>
      </c>
      <c r="E23" s="283"/>
      <c r="F23" s="283"/>
      <c r="G23" s="68"/>
      <c r="H23" s="266"/>
      <c r="I23" s="266"/>
      <c r="J23" s="68"/>
      <c r="L23" s="120"/>
    </row>
    <row r="24" spans="1:12" ht="7.5" customHeight="1">
      <c r="A24" s="60"/>
      <c r="B24" s="89"/>
      <c r="C24" s="120"/>
      <c r="D24" s="122"/>
      <c r="E24" s="122"/>
      <c r="F24" s="122"/>
      <c r="G24" s="68"/>
      <c r="H24" s="120"/>
      <c r="I24" s="120"/>
      <c r="J24" s="122"/>
      <c r="L24" s="120"/>
    </row>
    <row r="25" spans="1:12" ht="13.5" customHeight="1">
      <c r="A25" s="281"/>
      <c r="B25" s="89"/>
      <c r="C25" s="266"/>
      <c r="D25" s="121" t="str">
        <f>IF(C25="","",D23)</f>
        <v/>
      </c>
      <c r="E25" s="283"/>
      <c r="F25" s="283"/>
      <c r="G25" s="68"/>
      <c r="H25" s="266"/>
      <c r="I25" s="266"/>
      <c r="J25" s="68"/>
      <c r="L25" s="120"/>
    </row>
    <row r="26" spans="1:12" ht="13.5" customHeight="1">
      <c r="A26" s="69"/>
      <c r="B26" s="89"/>
      <c r="C26" s="356" t="str">
        <f>SUM(C17:C25)*100&amp;txt!$B$224</f>
        <v>0% von 100% zugeteilt</v>
      </c>
      <c r="D26" s="356"/>
      <c r="E26" s="120"/>
      <c r="F26" s="120"/>
      <c r="G26" s="68"/>
      <c r="H26" s="120"/>
      <c r="I26" s="120"/>
      <c r="J26" s="120"/>
      <c r="L26" s="120"/>
    </row>
    <row r="27" spans="1:12" ht="13.5" customHeight="1">
      <c r="A27" s="69"/>
      <c r="B27" s="89"/>
      <c r="C27" s="120"/>
      <c r="D27" s="120"/>
      <c r="E27" s="120"/>
      <c r="F27" s="120"/>
      <c r="G27" s="68"/>
      <c r="H27" s="120"/>
      <c r="I27" s="120"/>
      <c r="J27" s="120"/>
      <c r="L27" s="120"/>
    </row>
    <row r="28" spans="1:12" ht="13.5" customHeight="1">
      <c r="A28" s="69" t="str">
        <f>txt!B109&amp;"-"&amp;txt!B113</f>
        <v>Build-Bereich</v>
      </c>
      <c r="B28" s="89"/>
      <c r="C28" s="120"/>
      <c r="D28" s="120"/>
      <c r="E28" s="120"/>
      <c r="F28" s="120"/>
      <c r="G28" s="68"/>
      <c r="H28" s="120"/>
      <c r="I28" s="120"/>
      <c r="J28" s="120"/>
      <c r="L28" s="120"/>
    </row>
    <row r="29" spans="1:12" ht="13.5" customHeight="1">
      <c r="A29" s="69"/>
      <c r="B29" s="89"/>
      <c r="C29" s="120"/>
      <c r="D29" s="120"/>
      <c r="E29" s="120"/>
      <c r="F29" s="120"/>
      <c r="G29" s="68"/>
      <c r="H29" s="118"/>
      <c r="I29" s="118"/>
      <c r="J29" s="120"/>
      <c r="L29" s="120"/>
    </row>
    <row r="30" spans="1:12" ht="13.5" customHeight="1">
      <c r="A30" s="281" t="s">
        <v>662</v>
      </c>
      <c r="B30" s="89"/>
      <c r="C30" s="266"/>
      <c r="D30" s="305"/>
      <c r="E30" s="282"/>
      <c r="F30" s="282"/>
      <c r="G30" s="89"/>
      <c r="H30" s="266"/>
      <c r="I30" s="266"/>
      <c r="J30" s="68"/>
      <c r="L30" s="120"/>
    </row>
    <row r="31" spans="1:12" ht="7.5" customHeight="1">
      <c r="A31" s="60"/>
      <c r="B31" s="89"/>
      <c r="C31" s="61"/>
      <c r="D31" s="120"/>
      <c r="E31" s="123"/>
      <c r="F31" s="123"/>
      <c r="G31" s="89"/>
      <c r="H31" s="120"/>
      <c r="I31" s="120"/>
      <c r="J31" s="124"/>
      <c r="L31" s="120"/>
    </row>
    <row r="32" spans="1:12" ht="13.5" customHeight="1">
      <c r="A32" s="281" t="s">
        <v>663</v>
      </c>
      <c r="B32" s="89"/>
      <c r="C32" s="266"/>
      <c r="D32" s="121" t="str">
        <f>IF(C32="","",D30)</f>
        <v/>
      </c>
      <c r="E32" s="282"/>
      <c r="F32" s="282"/>
      <c r="G32" s="89"/>
      <c r="H32" s="266"/>
      <c r="I32" s="266"/>
      <c r="J32" s="68"/>
      <c r="L32" s="120"/>
    </row>
    <row r="33" spans="1:12" ht="7.5" customHeight="1">
      <c r="A33" s="60"/>
      <c r="B33" s="89"/>
      <c r="C33" s="61"/>
      <c r="D33" s="120"/>
      <c r="E33" s="123"/>
      <c r="F33" s="123"/>
      <c r="G33" s="89"/>
      <c r="H33" s="120"/>
      <c r="I33" s="120"/>
      <c r="J33" s="124"/>
      <c r="L33" s="120"/>
    </row>
    <row r="34" spans="1:12" ht="13.5" customHeight="1">
      <c r="A34" s="281" t="s">
        <v>664</v>
      </c>
      <c r="B34" s="89"/>
      <c r="C34" s="266"/>
      <c r="D34" s="121" t="str">
        <f>IF(C34="","",D32)</f>
        <v/>
      </c>
      <c r="E34" s="282"/>
      <c r="F34" s="282"/>
      <c r="G34" s="89"/>
      <c r="H34" s="266"/>
      <c r="I34" s="266"/>
      <c r="J34" s="68"/>
      <c r="L34" s="120"/>
    </row>
    <row r="35" spans="1:12" ht="7.5" customHeight="1">
      <c r="A35" s="60"/>
      <c r="B35" s="89"/>
      <c r="C35" s="61"/>
      <c r="D35" s="120"/>
      <c r="E35" s="123"/>
      <c r="F35" s="123"/>
      <c r="G35" s="89"/>
      <c r="H35" s="120"/>
      <c r="I35" s="120"/>
      <c r="J35" s="124"/>
      <c r="L35" s="120"/>
    </row>
    <row r="36" spans="1:12" ht="13.5" customHeight="1">
      <c r="A36" s="281"/>
      <c r="B36" s="89"/>
      <c r="C36" s="266"/>
      <c r="D36" s="121" t="str">
        <f>IF(C36="","",D34)</f>
        <v/>
      </c>
      <c r="E36" s="282"/>
      <c r="F36" s="282"/>
      <c r="G36" s="89"/>
      <c r="H36" s="266"/>
      <c r="I36" s="266"/>
      <c r="J36" s="68"/>
      <c r="L36" s="120"/>
    </row>
    <row r="37" spans="1:12" ht="7.5" customHeight="1">
      <c r="A37" s="60"/>
      <c r="B37" s="89"/>
      <c r="C37" s="61"/>
      <c r="D37" s="122"/>
      <c r="E37" s="123"/>
      <c r="F37" s="123"/>
      <c r="G37" s="89"/>
      <c r="H37" s="120"/>
      <c r="I37" s="120"/>
      <c r="J37" s="124"/>
      <c r="L37" s="120"/>
    </row>
    <row r="38" spans="1:12" ht="13.5" customHeight="1">
      <c r="A38" s="281"/>
      <c r="B38" s="89"/>
      <c r="C38" s="266"/>
      <c r="D38" s="121" t="str">
        <f>IF(C38="","",D36)</f>
        <v/>
      </c>
      <c r="E38" s="282"/>
      <c r="F38" s="282"/>
      <c r="G38" s="89"/>
      <c r="H38" s="266"/>
      <c r="I38" s="266"/>
      <c r="J38" s="68"/>
      <c r="L38" s="120"/>
    </row>
    <row r="39" spans="1:12" ht="13.5" customHeight="1">
      <c r="A39" s="69"/>
      <c r="B39" s="89"/>
      <c r="C39" s="356" t="str">
        <f>SUM(C30:C38)*100&amp;txt!$B$224</f>
        <v>0% von 100% zugeteilt</v>
      </c>
      <c r="D39" s="356"/>
      <c r="E39" s="120"/>
      <c r="F39" s="120"/>
      <c r="G39" s="68"/>
      <c r="H39" s="120"/>
      <c r="I39" s="120"/>
      <c r="J39" s="120"/>
      <c r="L39" s="120"/>
    </row>
    <row r="40" spans="1:12" ht="13.5" customHeight="1">
      <c r="A40" s="69"/>
      <c r="B40" s="89"/>
      <c r="C40" s="120"/>
      <c r="D40" s="120"/>
      <c r="E40" s="120"/>
      <c r="F40" s="120"/>
      <c r="G40" s="68"/>
      <c r="H40" s="120"/>
      <c r="I40" s="120"/>
      <c r="J40" s="120"/>
      <c r="K40" s="120"/>
      <c r="L40" s="120"/>
    </row>
    <row r="41" spans="1:12" s="131" customFormat="1" ht="13.5" customHeight="1">
      <c r="A41" s="125" t="str">
        <f>txt!B138&amp;": "&amp;txt!B139</f>
        <v>Beispiel: Projektleiter</v>
      </c>
      <c r="B41" s="126"/>
      <c r="C41" s="127">
        <v>0.28000000000000003</v>
      </c>
      <c r="D41" s="128" t="s">
        <v>159</v>
      </c>
      <c r="E41" s="129">
        <v>160</v>
      </c>
      <c r="F41" s="129">
        <v>160</v>
      </c>
      <c r="G41" s="130"/>
      <c r="H41" s="209">
        <v>0.08</v>
      </c>
      <c r="I41" s="209">
        <v>0.05</v>
      </c>
      <c r="J41" s="130"/>
      <c r="K41" s="120"/>
    </row>
    <row r="42" spans="1:12" ht="7.5" customHeight="1">
      <c r="A42" s="69"/>
      <c r="B42" s="89"/>
      <c r="C42" s="120"/>
      <c r="D42" s="120"/>
      <c r="E42" s="120"/>
      <c r="F42" s="120"/>
      <c r="G42" s="68"/>
      <c r="H42" s="120"/>
      <c r="I42" s="120"/>
      <c r="J42" s="120"/>
      <c r="K42" s="120"/>
      <c r="L42" s="120"/>
    </row>
    <row r="43" spans="1:12" ht="27" customHeight="1">
      <c r="A43" s="233" t="str">
        <f>txt!B108</f>
        <v>Mitarbeiter des 'Plan'-Bereichs sind zum Beispiel  ICT-Berater, ICT-Architekten, ICT-Qualitätsmanager.</v>
      </c>
      <c r="B43" s="89"/>
      <c r="C43" s="339" t="str">
        <f>txt!B160</f>
        <v>Definition "Kunde im Ausland": Adresse des Leistungsbezügers im Ausland.</v>
      </c>
      <c r="D43" s="339"/>
      <c r="E43" s="339"/>
      <c r="F43" s="339"/>
      <c r="G43" s="68"/>
      <c r="L43" s="120"/>
    </row>
    <row r="44" spans="1:12" ht="7.5" customHeight="1">
      <c r="A44" s="69"/>
      <c r="B44" s="69"/>
      <c r="C44" s="69"/>
      <c r="D44" s="69"/>
      <c r="E44" s="69"/>
      <c r="F44" s="69"/>
      <c r="G44" s="69"/>
      <c r="L44" s="69"/>
    </row>
    <row r="45" spans="1:12" ht="40.5" customHeight="1">
      <c r="A45" s="233" t="str">
        <f>txt!B110</f>
        <v>Mitarbeiter des 'Build'-Bereichs sind zum Beispiel Applikationsentwickler, Systemingenieure, Wirtschaftsinformatiker.</v>
      </c>
      <c r="B45" s="89"/>
      <c r="C45" s="339" t="str">
        <f>txt!B169</f>
        <v>Die Preise sind ohne Mehrwertsteuer anzugeben.</v>
      </c>
      <c r="D45" s="339"/>
      <c r="E45" s="339"/>
      <c r="F45" s="339"/>
      <c r="G45" s="68"/>
      <c r="L45" s="120"/>
    </row>
    <row r="46" spans="1:12" ht="7.5" customHeight="1">
      <c r="A46" s="69"/>
      <c r="B46" s="89"/>
      <c r="C46" s="120"/>
      <c r="D46" s="120"/>
      <c r="E46" s="120"/>
      <c r="F46" s="120"/>
      <c r="G46" s="68"/>
      <c r="H46" s="120"/>
      <c r="I46" s="120"/>
      <c r="J46" s="120"/>
      <c r="K46" s="120"/>
      <c r="L46" s="120"/>
    </row>
    <row r="47" spans="1:12" ht="67.5" customHeight="1">
      <c r="A47" s="233" t="str">
        <f>txt!B145&amp;":
"&amp;txt!B146</f>
        <v>Stundenansätze:
Die ausgewiesenen Preise sollen den durchschnittlichen (über alle Kunden) effektiv verrechneten Stundenansätzen entsprechen (Rabatte sind separat auszuweisen).</v>
      </c>
      <c r="B47" s="89"/>
      <c r="C47" s="339" t="str">
        <f>txt!B155</f>
        <v xml:space="preserve">Die Zeitanteile der angegebenen Qualifikationsstufen müssen sich zu 100% addieren. Gegebenenfalls nicht genannte Qualifikationsstufen sind bei den Zeitanteilen also nicht zu berücksichtigen.  </v>
      </c>
      <c r="D47" s="339"/>
      <c r="E47" s="339"/>
      <c r="F47" s="339"/>
      <c r="G47" s="68"/>
      <c r="L47" s="120"/>
    </row>
    <row r="48" spans="1:12" ht="13.5" customHeight="1">
      <c r="A48" s="69"/>
      <c r="B48" s="89"/>
      <c r="C48" s="120"/>
      <c r="D48" s="120"/>
      <c r="E48" s="120"/>
      <c r="F48" s="120"/>
      <c r="G48" s="68"/>
      <c r="H48" s="120"/>
      <c r="I48" s="120"/>
      <c r="J48" s="120"/>
      <c r="K48" s="120"/>
      <c r="L48" s="120"/>
    </row>
    <row r="49" spans="1:12" ht="13.5" customHeight="1">
      <c r="A49" s="69" t="str">
        <f>txt!B173&amp;":"</f>
        <v>Bemerkungen:</v>
      </c>
      <c r="B49" s="89"/>
      <c r="C49" s="120"/>
      <c r="D49" s="120"/>
      <c r="E49" s="120"/>
      <c r="F49" s="120"/>
      <c r="G49" s="68"/>
      <c r="H49" s="120"/>
      <c r="I49" s="120"/>
      <c r="J49" s="120"/>
      <c r="K49" s="120"/>
      <c r="L49" s="120"/>
    </row>
    <row r="50" spans="1:12" ht="54" customHeight="1">
      <c r="A50" s="344"/>
      <c r="B50" s="345"/>
      <c r="C50" s="345"/>
      <c r="D50" s="345"/>
      <c r="E50" s="345"/>
      <c r="F50" s="345"/>
      <c r="G50" s="345"/>
      <c r="H50" s="345"/>
      <c r="I50" s="345"/>
      <c r="J50" s="345"/>
      <c r="K50" s="346"/>
      <c r="L50" s="120"/>
    </row>
    <row r="51" spans="1:12" ht="13.5" customHeight="1">
      <c r="A51" s="78">
        <f>Steuerung!E7</f>
        <v>1</v>
      </c>
      <c r="B51" s="91"/>
      <c r="C51" s="91"/>
      <c r="D51" s="56"/>
      <c r="E51" s="56"/>
    </row>
    <row r="52" spans="1:12" ht="13.5" customHeight="1">
      <c r="A52" s="78">
        <f>Steuerung!H$6</f>
        <v>0</v>
      </c>
      <c r="C52" s="268" t="str">
        <f>txt!B221</f>
        <v>ZURÜCK</v>
      </c>
      <c r="H52" s="269" t="str">
        <f>IF(AND(COUNTIF($A$17:$A$25,"")=9,COUNTIF($A$30:$A$38,"")=9),"",IF(AND(SUM($C$17:$C$25)&lt;&gt;1,SUM($C$30:$C$38)&lt;&gt;1),"",IF(AND(COUNTIF($D$17,"")=1,COUNTIF($D$30,"")=1),"",IF(AND(COUNTIF($E$17:$E$25,"")=9,COUNTIF($E$30:$E$38,"")=9),"",IF(AND(COUNTIF($F$17:$F$25,"")=9,COUNTIF($F$30:$F$38,"")=9),"",IF(AND(COUNTIF($H$17:$H$25,"")=9,COUNTIF($H$30:$H$38,"")=9),"",IF(AND(COUNTIF($I$17:$I$25,"")=9,COUNTIF($I$30:$I$38,"")=9),"",IF(A52=1,txt!$B$222,""))))))))</f>
        <v/>
      </c>
    </row>
    <row r="53" spans="1:12" ht="13.5" customHeight="1">
      <c r="A53" s="78"/>
      <c r="C53" s="62"/>
      <c r="H53" s="62"/>
    </row>
    <row r="54" spans="1:12" ht="13.5" customHeight="1">
      <c r="A54" s="78">
        <f>Steuerung!J$6</f>
        <v>0</v>
      </c>
      <c r="H54" s="269" t="str">
        <f>IF(AND(COUNTIF($A$17:$A$25,"")=9,COUNTIF($A$30:$A$38,"")=9),"",IF(AND(SUM($C$17:$C$25)&lt;&gt;1,SUM($C$30:$C$38)&lt;&gt;1),"",IF(AND(COUNTIF($D$17,"")=1,COUNTIF($D$30,"")=1),"",IF(AND(COUNTIF($E$17:$E$25,"")=9,COUNTIF($E$30:$E$38,"")=9),"",IF(AND(COUNTIF($F$17:$F$25,"")=9,COUNTIF($F$30:$F$38,"")=9),"",IF(AND(COUNTIF($H$17:$H$25,"")=9,COUNTIF($H$30:$H$38,"")=9),"",IF(AND(COUNTIF($I$17:$I$25,"")=9,COUNTIF($I$30:$I$38,"")=9),"",IF(AND(A52=0,A54=1),txt!$B$222,""))))))))</f>
        <v/>
      </c>
    </row>
    <row r="55" spans="1:12" ht="13.5" customHeight="1">
      <c r="A55" s="78"/>
      <c r="H55" s="62"/>
    </row>
    <row r="56" spans="1:12" ht="13.5" customHeight="1">
      <c r="A56" s="78">
        <f>Steuerung!L$6</f>
        <v>0</v>
      </c>
      <c r="H56" s="269" t="str">
        <f>IF(AND(COUNTIF($A$17:$A$25,"")=9,COUNTIF($A$30:$A$38,"")=9),"",IF(AND(SUM($C$17:$C$25)&lt;&gt;1,SUM($C$30:$C$38)&lt;&gt;1),"",IF(AND(COUNTIF($D$17,"")=1,COUNTIF($D$30,"")=1),"",IF(AND(COUNTIF($E$17:$E$25,"")=9,COUNTIF($E$30:$E$38,"")=9),"",IF(AND(COUNTIF($F$17:$F$25,"")=9,COUNTIF($F$30:$F$38,"")=9),"",IF(AND(COUNTIF($H$17:$H$25,"")=9,COUNTIF($H$30:$H$38,"")=9),"",IF(AND(COUNTIF($I$17:$I$25,"")=9,COUNTIF($I$30:$I$38,"")=9),"",IF(AND(A52=0,A54=0,A56=1),txt!$B$222,""))))))))</f>
        <v/>
      </c>
    </row>
    <row r="57" spans="1:12" ht="13.5" customHeight="1">
      <c r="A57" s="78"/>
      <c r="H57" s="62"/>
    </row>
    <row r="58" spans="1:12" ht="13.5" customHeight="1">
      <c r="A58" s="78">
        <f>Steuerung!N$6</f>
        <v>0</v>
      </c>
      <c r="H58" s="269" t="str">
        <f>IF(AND(COUNTIF($A$17:$A$25,"")=9,COUNTIF($A$30:$A$38,"")=9),"",IF(AND(SUM($C$17:$C$25)&lt;&gt;1,SUM($C$30:$C$38)&lt;&gt;1),"",IF(AND(COUNTIF($D$17,"")=1,COUNTIF($D$30,"")=1),"",IF(AND(COUNTIF($E$17:$E$25,"")=9,COUNTIF($E$30:$E$38,"")=9),"",IF(AND(COUNTIF($F$17:$F$25,"")=9,COUNTIF($F$30:$F$38,"")=9),"",IF(AND(COUNTIF($H$17:$H$25,"")=9,COUNTIF($H$30:$H$38,"")=9),"",IF(AND(COUNTIF($I$17:$I$25,"")=9,COUNTIF($I$30:$I$38,"")=9),"",IF(AND(A52=0,A54=0,A56=0,A58=1),txt!$B$222,""))))))))</f>
        <v/>
      </c>
    </row>
    <row r="59" spans="1:12" ht="13.5" customHeight="1">
      <c r="A59" s="78"/>
      <c r="H59" s="62"/>
    </row>
    <row r="60" spans="1:12" ht="13.5" customHeight="1">
      <c r="A60" s="78">
        <f>Steuerung!P$6</f>
        <v>1</v>
      </c>
      <c r="H60" s="269" t="str">
        <f>IF(AND(COUNTIF($A$17:$A$25,"")=9,COUNTIF($A$30:$A$38,"")=9),"",IF(AND(SUM($C$17:$C$25)&lt;&gt;1,SUM($C$30:$C$38)&lt;&gt;1),"",IF(AND(COUNTIF($D$17,"")=1,COUNTIF($D$30,"")=1),"",IF(AND(COUNTIF($E$17:$E$25,"")=9,COUNTIF($E$30:$E$38,"")=9),"",IF(AND(COUNTIF($F$17:$F$25,"")=9,COUNTIF($F$30:$F$38,"")=9),"",IF(AND(COUNTIF($H$17:$H$25,"")=9,COUNTIF($H$30:$H$38,"")=9),"",IF(AND(COUNTIF($I$17:$I$25,"")=9,COUNTIF($I$30:$I$38,"")=9),"",IF(AND(A52=0,A54=0,A56=0,A58=0,A60=1),txt!$B$222,""))))))))</f>
        <v/>
      </c>
    </row>
    <row r="61" spans="1:12" ht="13.5" customHeight="1">
      <c r="A61" s="78"/>
    </row>
  </sheetData>
  <sheetProtection algorithmName="SHA-512" hashValue="gCzlOe3edAXjLAn0ocDptcvpPvYxyjwENK+fFrGJGAHvM1fuSSaPhVQid1Ab9p9GCcPndRd4uGXSzgE0u/YfWA==" saltValue="UUxVjAP+XwytLu/Nh0bBKQ==" spinCount="100000" sheet="1" objects="1" scenarios="1"/>
  <mergeCells count="12">
    <mergeCell ref="C45:F45"/>
    <mergeCell ref="C47:F47"/>
    <mergeCell ref="A50:K50"/>
    <mergeCell ref="C26:D26"/>
    <mergeCell ref="C39:D39"/>
    <mergeCell ref="C43:F43"/>
    <mergeCell ref="A11:I11"/>
    <mergeCell ref="C1:F1"/>
    <mergeCell ref="C2:F2"/>
    <mergeCell ref="C3:F3"/>
    <mergeCell ref="H7:K7"/>
    <mergeCell ref="A10:I10"/>
  </mergeCells>
  <dataValidations count="4">
    <dataValidation type="decimal" allowBlank="1" showInputMessage="1" showErrorMessage="1" sqref="C17:C25 C30:C38 H39:I39 J18">
      <formula1>0</formula1>
      <formula2>1</formula2>
    </dataValidation>
    <dataValidation type="decimal" allowBlank="1" showInputMessage="1" showErrorMessage="1" sqref="I37 I18 I20 I26:I29 I31 I33 I22 I24 I35 H26:H29 H18 H20 H22 H24 H31 H33 H35 H37">
      <formula1>0</formula1>
      <formula2>0.99</formula2>
    </dataValidation>
    <dataValidation type="decimal" allowBlank="1" showInputMessage="1" showErrorMessage="1" error="Bitte geben Sie einen Wert zwischen 0% und 99% ein / Entrez une valeur entre 0% et 99%, s.v.p." sqref="H17:I17 H19:I19 H21:I21 H23:I23 H25:I25 H30:I30 I32 H32 I34 H34 H36:I36 H38:I38">
      <formula1>0</formula1>
      <formula2>0.99</formula2>
    </dataValidation>
    <dataValidation type="textLength" allowBlank="1" showInputMessage="1" showErrorMessage="1" error="Bitte verwenden Sie nicht mehr als 199 Zeichen / S.v.p. utilisez 199 caractères au maximum" sqref="A17 A19 A21 A23 A25 A30 A32 A34 A36 A38">
      <formula1>0</formula1>
      <formula2>199</formula2>
    </dataValidation>
  </dataValidations>
  <hyperlinks>
    <hyperlink ref="C52" location="'11hCH'!A1" display="'11hCH'!A1"/>
    <hyperlink ref="H60" location="'5'!A1" display="'5'!A1"/>
    <hyperlink ref="H58" location="'4'!A1" display="'4'!A1"/>
    <hyperlink ref="H56" location="'3'!A1" display="'3'!A1"/>
    <hyperlink ref="H54" location="'2'!A1" display="'2'!A1"/>
    <hyperlink ref="H52" location="'102'!A1" display="'102'!A1"/>
  </hyperlinks>
  <pageMargins left="0.74803149606299213" right="0.74803149606299213" top="0.39370078740157483" bottom="0.19685039370078741" header="0.51181102362204722" footer="0.51181102362204722"/>
  <pageSetup paperSize="9" scale="73"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2CB733AD-A893-BC4E-AB54-2C3B2AADE064}">
            <xm:f>txt!$B$222</xm:f>
            <x14:dxf>
              <font>
                <u/>
                <color rgb="FF0000FF"/>
              </font>
              <fill>
                <patternFill patternType="solid">
                  <fgColor indexed="64"/>
                  <bgColor rgb="FFFFFF00"/>
                </patternFill>
              </fill>
            </x14:dxf>
          </x14:cfRule>
          <xm:sqref>H52:H60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Bitte wählen Sie einen Wert aus dem Drop-Down-Menu / Sélectionnez une valeur dans le menu déroulant, s.v.p.">
          <x14:formula1>
            <xm:f>txt!$B$162:$B$164</xm:f>
          </x14:formula1>
          <xm:sqref>D30</xm:sqref>
        </x14:dataValidation>
        <x14:dataValidation type="list" allowBlank="1" showInputMessage="1" showErrorMessage="1" error="Bitte wählen Sie einen Wert aus dem Drop-Down-Menu / Sélectionnez une valeur dans le menu déroulant, s.v.p.">
          <x14:formula1>
            <xm:f>txt!$B$162:$B$164</xm:f>
          </x14:formula1>
          <xm:sqref>D17</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5" tint="0.79998168889431442"/>
    <pageSetUpPr fitToPage="1"/>
  </sheetPr>
  <dimension ref="A1:J34"/>
  <sheetViews>
    <sheetView workbookViewId="0">
      <selection activeCell="C12" sqref="C12"/>
    </sheetView>
  </sheetViews>
  <sheetFormatPr baseColWidth="10" defaultColWidth="10.6640625" defaultRowHeight="12.75"/>
  <cols>
    <col min="1" max="1" width="50.6640625" style="50" customWidth="1"/>
    <col min="2" max="2" width="2.6640625" style="50" customWidth="1"/>
    <col min="3" max="3" width="32.6640625" style="50" customWidth="1"/>
    <col min="4" max="4" width="2.6640625" style="50" customWidth="1"/>
    <col min="5" max="5" width="32.6640625" style="50" customWidth="1"/>
    <col min="6" max="16384" width="10.6640625" style="50"/>
  </cols>
  <sheetData>
    <row r="1" spans="1:10" ht="15" customHeight="1">
      <c r="B1" s="336" t="str">
        <f>txt!$B$42</f>
        <v>Preiserhebung</v>
      </c>
      <c r="C1" s="336"/>
      <c r="D1" s="336"/>
      <c r="E1" s="51" t="str">
        <f>txt!$B$175</f>
        <v>Eidg. Departement des Innern</v>
      </c>
    </row>
    <row r="2" spans="1:10" ht="15" customHeight="1">
      <c r="B2" s="336" t="str">
        <f>txt!$B$43</f>
        <v>Produzentenpreisindex</v>
      </c>
      <c r="C2" s="336"/>
      <c r="D2" s="336"/>
      <c r="E2" s="51" t="str">
        <f>txt!$B$176</f>
        <v>Bundesamt für Statistik BFS</v>
      </c>
    </row>
    <row r="3" spans="1:10" ht="15" customHeight="1">
      <c r="B3" s="337" t="str">
        <f>txt!$B$44</f>
        <v>Informatikdienstleistungen</v>
      </c>
      <c r="C3" s="337"/>
      <c r="D3" s="337"/>
      <c r="E3" s="52" t="str">
        <f>txt!$B$177</f>
        <v>Abt. Wirtschaft, Sektion PREIS</v>
      </c>
    </row>
    <row r="4" spans="1:10" ht="13.5" customHeight="1">
      <c r="A4" s="63"/>
      <c r="B4" s="63"/>
      <c r="C4" s="63"/>
      <c r="D4" s="63"/>
      <c r="E4" s="63"/>
      <c r="F4" s="63"/>
      <c r="G4" s="63"/>
      <c r="H4" s="63"/>
      <c r="I4" s="63"/>
      <c r="J4" s="63"/>
    </row>
    <row r="5" spans="1:10" ht="13.5" customHeight="1">
      <c r="A5" s="63" t="str">
        <f>txt!B46</f>
        <v>PMS-Nr. 0</v>
      </c>
      <c r="B5" s="63"/>
      <c r="C5" s="63"/>
      <c r="D5" s="63"/>
      <c r="E5" s="51" t="str">
        <f>txt!B45</f>
        <v/>
      </c>
      <c r="F5" s="63"/>
      <c r="G5" s="63"/>
      <c r="H5" s="63"/>
      <c r="J5" s="63"/>
    </row>
    <row r="6" spans="1:10" ht="13.5" customHeight="1">
      <c r="A6" s="63"/>
      <c r="B6" s="63"/>
      <c r="C6" s="63"/>
      <c r="D6" s="63"/>
      <c r="E6" s="63"/>
      <c r="F6" s="63"/>
      <c r="G6" s="63"/>
      <c r="H6" s="63"/>
      <c r="I6" s="63"/>
      <c r="J6" s="63"/>
    </row>
    <row r="7" spans="1:10" ht="13.5" customHeight="1">
      <c r="A7" s="63" t="str">
        <f>txt!B47&amp;": "&amp;txt!B49</f>
        <v>Geschäftsfeld: Programmierungstätigkeiten</v>
      </c>
      <c r="B7" s="63"/>
      <c r="C7" s="63"/>
      <c r="D7" s="63"/>
      <c r="E7" s="83" t="str">
        <f>" "&amp;REPT("|",INT(Steuerung!V8*100))</f>
        <v xml:space="preserve"> </v>
      </c>
      <c r="F7" s="63"/>
      <c r="G7" s="63"/>
      <c r="H7" s="63"/>
      <c r="I7" s="63"/>
      <c r="J7" s="63"/>
    </row>
    <row r="8" spans="1:10" ht="13.5" customHeight="1">
      <c r="A8" s="63" t="str">
        <f>txt!B48&amp;": "&amp;txt!B56</f>
        <v>Dienstleistungstyp: Standardsoftware</v>
      </c>
      <c r="B8" s="63"/>
      <c r="C8" s="63"/>
      <c r="D8" s="63"/>
      <c r="E8" s="65" t="str">
        <f>IF(COUNTIF(C12:C14,"")=3,txt!B231,"")</f>
        <v>Bitte wählen Sie eine häufig angewendete Preisfestsetzungsmethode</v>
      </c>
      <c r="F8" s="63"/>
      <c r="G8" s="63"/>
      <c r="H8" s="63"/>
      <c r="I8" s="63"/>
      <c r="J8" s="63"/>
    </row>
    <row r="9" spans="1:10" ht="13.5" customHeight="1">
      <c r="A9" s="53"/>
      <c r="B9" s="97"/>
      <c r="C9" s="97"/>
      <c r="D9" s="97"/>
      <c r="E9" s="98"/>
    </row>
    <row r="10" spans="1:10" s="57" customFormat="1" ht="13.5" customHeight="1">
      <c r="A10" s="58" t="str">
        <f>txt!B85</f>
        <v>Wie offerieren Sie normalerweise Ihre Dienstleistungen?</v>
      </c>
      <c r="E10" s="91"/>
    </row>
    <row r="11" spans="1:10" ht="27" customHeight="1">
      <c r="A11" s="60"/>
      <c r="B11" s="60"/>
      <c r="C11" s="59" t="str">
        <f>txt!B86</f>
        <v xml:space="preserve">Häufig angewendete Preisfestsetzungsmethode mit einem "X" kennzeichnen </v>
      </c>
      <c r="F11" s="96"/>
    </row>
    <row r="12" spans="1:10" ht="13.5" customHeight="1">
      <c r="A12" s="60" t="str">
        <f>txt!B89</f>
        <v>Lizenzgebühr (ggf. zzgl. Recurring Fee)</v>
      </c>
      <c r="B12" s="99"/>
      <c r="C12" s="134"/>
      <c r="F12" s="100"/>
    </row>
    <row r="13" spans="1:10" ht="7.5" customHeight="1">
      <c r="A13" s="60"/>
      <c r="B13" s="99"/>
      <c r="C13" s="101"/>
      <c r="F13" s="100"/>
    </row>
    <row r="14" spans="1:10" ht="13.5" customHeight="1">
      <c r="A14" s="102" t="str">
        <f>txt!B95</f>
        <v>Andere Form der Preisfestsetzung</v>
      </c>
      <c r="B14" s="103"/>
      <c r="C14" s="134"/>
    </row>
    <row r="15" spans="1:10" ht="13.5" customHeight="1">
      <c r="C15" s="80" t="str">
        <f>IF($C14="","",IF(A17="",txt!B84,""))</f>
        <v/>
      </c>
    </row>
    <row r="16" spans="1:10" ht="13.5" customHeight="1">
      <c r="A16" s="104" t="str">
        <f>txt!B105</f>
        <v>Kurzbeschrieb der anderen Form der Preisfestsetzung</v>
      </c>
    </row>
    <row r="17" spans="1:5" ht="54" customHeight="1">
      <c r="A17" s="341"/>
      <c r="B17" s="342"/>
      <c r="C17" s="343"/>
    </row>
    <row r="18" spans="1:5" ht="13.5" customHeight="1"/>
    <row r="19" spans="1:5" ht="13.5" customHeight="1">
      <c r="A19" s="243" t="str">
        <f>txt!B217&amp;":"</f>
        <v>Definition:</v>
      </c>
    </row>
    <row r="20" spans="1:5" ht="7.5" customHeight="1"/>
    <row r="21" spans="1:5" ht="40.5" customHeight="1">
      <c r="A21" s="94" t="str">
        <f>txt!B98</f>
        <v>Lizenzgebühr: Wird einmalig erhoben und gilt für die gesamte Nutzungsdauer einer Software oder (in Verbindung mit einer Recurring Fee) auch nur für einen bestimmten Zeitraum.</v>
      </c>
    </row>
    <row r="22" spans="1:5" ht="7.5" customHeight="1"/>
    <row r="23" spans="1:5" ht="40.5" customHeight="1">
      <c r="A23" s="94" t="str">
        <f>txt!B99</f>
        <v xml:space="preserve">Recurring Fee: Prozentuale Gebühr für die Verlängerung der Verwendung einer Softwarelösung; es erfolgen in der Regel keine neuen Programmierungstätigkeiten. </v>
      </c>
    </row>
    <row r="24" spans="1:5" ht="13.5" customHeight="1"/>
    <row r="25" spans="1:5" ht="13.5" customHeight="1">
      <c r="C25" s="268" t="str">
        <f>txt!B221</f>
        <v>ZURÜCK</v>
      </c>
      <c r="E25" s="269" t="str">
        <f>IF(COUNTIF(C12:C14,"")=3,"",txt!B222)</f>
        <v/>
      </c>
    </row>
    <row r="26" spans="1:5" ht="13.5" customHeight="1">
      <c r="E26" s="62"/>
    </row>
    <row r="27" spans="1:5" ht="13.5" customHeight="1">
      <c r="C27" s="106"/>
      <c r="E27" s="62"/>
    </row>
    <row r="28" spans="1:5" ht="13.5" customHeight="1">
      <c r="C28" s="106"/>
      <c r="E28" s="62"/>
    </row>
    <row r="29" spans="1:5" ht="13.5" customHeight="1">
      <c r="E29" s="62"/>
    </row>
    <row r="30" spans="1:5" ht="13.5" customHeight="1">
      <c r="E30" s="62"/>
    </row>
    <row r="31" spans="1:5" ht="13.5" customHeight="1">
      <c r="E31" s="62"/>
    </row>
    <row r="32" spans="1:5" ht="13.5" customHeight="1">
      <c r="E32" s="62"/>
    </row>
    <row r="33" spans="5:5">
      <c r="E33" s="62"/>
    </row>
    <row r="34" spans="5:5" ht="12.95" customHeight="1"/>
  </sheetData>
  <sheetProtection algorithmName="SHA-512" hashValue="pFVcemObE7J92sIV0aG8mVcB0bASWH1fSrYZDgiQJVbeT0QO5o+VuhyoO7KeioKPCPVxbe+RvLHwAuWzZYf/rw==" saltValue="KLrjDUtQU6oneKRTmKOHZw==" spinCount="100000" sheet="1" objects="1" scenarios="1"/>
  <mergeCells count="4">
    <mergeCell ref="A17:C17"/>
    <mergeCell ref="B1:D1"/>
    <mergeCell ref="B2:D2"/>
    <mergeCell ref="B3:D3"/>
  </mergeCells>
  <hyperlinks>
    <hyperlink ref="E25" location="'12l'!A1" display="'12l'!A1"/>
    <hyperlink ref="C25" location="'1'!A1" display="'1'!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8C038CF2-B3C6-2E4F-90C8-49B3D790FB5B}">
            <xm:f>txt!$B$222</xm:f>
            <x14:dxf>
              <font>
                <u/>
                <color rgb="FF0000FF"/>
              </font>
              <fill>
                <patternFill patternType="solid">
                  <fgColor indexed="64"/>
                  <bgColor rgb="FFFFFF00"/>
                </patternFill>
              </fill>
            </x14:dxf>
          </x14:cfRule>
          <xm:sqref>E25:E33</xm:sqref>
        </x14:conditionalFormatting>
      </x14:conditionalFormattings>
    </ex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5" tint="0.39997558519241921"/>
    <pageSetUpPr fitToPage="1"/>
  </sheetPr>
  <dimension ref="A1:O49"/>
  <sheetViews>
    <sheetView workbookViewId="0">
      <selection activeCell="A12" sqref="A12:I12"/>
    </sheetView>
  </sheetViews>
  <sheetFormatPr baseColWidth="10" defaultColWidth="10.6640625" defaultRowHeight="12.75"/>
  <cols>
    <col min="1" max="1" width="50.6640625" style="50" customWidth="1"/>
    <col min="2" max="2" width="2.6640625" style="50" customWidth="1"/>
    <col min="3" max="3" width="8.6640625" style="50" customWidth="1"/>
    <col min="4" max="5" width="12.6640625" style="50" customWidth="1"/>
    <col min="6" max="6" width="2.6640625" style="50" customWidth="1"/>
    <col min="7" max="7" width="8.6640625" style="50" customWidth="1"/>
    <col min="8" max="9" width="12.6640625" style="50" customWidth="1"/>
    <col min="10" max="10" width="35.6640625" style="50" customWidth="1"/>
    <col min="11" max="16384" width="10.6640625" style="50"/>
  </cols>
  <sheetData>
    <row r="1" spans="1:15" ht="15.75">
      <c r="B1" s="336" t="str">
        <f>txt!$B$42</f>
        <v>Preiserhebung</v>
      </c>
      <c r="C1" s="336"/>
      <c r="D1" s="336"/>
      <c r="E1" s="336"/>
      <c r="F1" s="336"/>
      <c r="I1" s="51" t="str">
        <f>txt!$B$175</f>
        <v>Eidg. Departement des Innern</v>
      </c>
    </row>
    <row r="2" spans="1:15" ht="15.75">
      <c r="B2" s="336" t="str">
        <f>txt!$B$43</f>
        <v>Produzentenpreisindex</v>
      </c>
      <c r="C2" s="336"/>
      <c r="D2" s="336"/>
      <c r="E2" s="336"/>
      <c r="F2" s="336"/>
      <c r="I2" s="51" t="str">
        <f>txt!$B$176</f>
        <v>Bundesamt für Statistik BFS</v>
      </c>
    </row>
    <row r="3" spans="1:15" ht="15.75">
      <c r="B3" s="337" t="str">
        <f>txt!$B$44</f>
        <v>Informatikdienstleistungen</v>
      </c>
      <c r="C3" s="337"/>
      <c r="D3" s="337"/>
      <c r="E3" s="337"/>
      <c r="F3" s="337"/>
      <c r="I3" s="52" t="str">
        <f>txt!$B$177</f>
        <v>Abt. Wirtschaft, Sektion PREIS</v>
      </c>
    </row>
    <row r="4" spans="1:15" ht="13.5" customHeight="1">
      <c r="A4" s="63"/>
      <c r="B4" s="63"/>
      <c r="C4" s="63"/>
      <c r="D4" s="63"/>
      <c r="E4" s="63"/>
      <c r="F4" s="63"/>
      <c r="G4" s="63"/>
      <c r="H4" s="63"/>
      <c r="I4" s="63"/>
      <c r="J4" s="63"/>
      <c r="K4" s="63"/>
      <c r="L4" s="63"/>
      <c r="M4" s="63"/>
      <c r="N4" s="63"/>
      <c r="O4" s="63"/>
    </row>
    <row r="5" spans="1:15" ht="13.5" customHeight="1">
      <c r="A5" s="63" t="str">
        <f>txt!B46</f>
        <v>PMS-Nr. 0</v>
      </c>
      <c r="B5" s="63"/>
      <c r="C5" s="63"/>
      <c r="D5" s="63"/>
      <c r="E5" s="63"/>
      <c r="F5" s="63"/>
      <c r="G5" s="63"/>
      <c r="H5" s="63"/>
      <c r="I5" s="51" t="str">
        <f>txt!B45</f>
        <v/>
      </c>
      <c r="K5" s="63"/>
      <c r="L5" s="63"/>
      <c r="M5" s="63"/>
      <c r="O5" s="63"/>
    </row>
    <row r="6" spans="1:15" ht="13.5" customHeight="1">
      <c r="A6" s="63"/>
      <c r="B6" s="63"/>
      <c r="C6" s="63"/>
      <c r="D6" s="63"/>
      <c r="E6" s="63"/>
      <c r="F6" s="63"/>
      <c r="G6" s="63"/>
      <c r="H6" s="63"/>
      <c r="I6" s="63"/>
      <c r="J6" s="63"/>
      <c r="K6" s="63"/>
      <c r="L6" s="63"/>
      <c r="M6" s="63"/>
      <c r="N6" s="63"/>
      <c r="O6" s="63"/>
    </row>
    <row r="7" spans="1:15" ht="13.5" customHeight="1">
      <c r="A7" s="63" t="str">
        <f>txt!B47&amp;": "&amp;txt!B49</f>
        <v>Geschäftsfeld: Programmierungstätigkeiten</v>
      </c>
      <c r="B7" s="63"/>
      <c r="C7" s="63"/>
      <c r="D7" s="63"/>
      <c r="E7" s="63"/>
      <c r="F7" s="63"/>
      <c r="G7" s="349" t="str">
        <f>" "&amp;REPT("|",INT(Steuerung!AA8*105))</f>
        <v xml:space="preserve"> </v>
      </c>
      <c r="H7" s="350"/>
      <c r="I7" s="351"/>
      <c r="J7" s="63"/>
      <c r="K7" s="63"/>
      <c r="L7" s="63"/>
      <c r="M7" s="63"/>
      <c r="N7" s="63"/>
      <c r="O7" s="63"/>
    </row>
    <row r="8" spans="1:15" ht="13.5" customHeight="1">
      <c r="A8" s="63" t="str">
        <f>txt!B48&amp;": "&amp;txt!B56</f>
        <v>Dienstleistungstyp: Standardsoftware</v>
      </c>
      <c r="B8" s="63"/>
      <c r="C8" s="63"/>
      <c r="D8" s="63"/>
      <c r="E8" s="63"/>
      <c r="F8" s="63"/>
      <c r="G8" s="63"/>
      <c r="H8" s="63"/>
      <c r="I8" s="65" t="str">
        <f>IF($A$12="",txt!B236,IF(OR($D$18="",AND($A$35=0,$H$18="")),txt!B233,IF(OR($E$18="",AND($A$35=0,$I$18="")),txt!B234,IF(AND(A35=0,G18=""),txt!B235,IF(A36=1,"","")))))</f>
        <v>Bitte definieren Sie eine Ihrer zentralen Standardsoftware</v>
      </c>
      <c r="J8" s="63"/>
      <c r="K8" s="63"/>
      <c r="L8" s="63"/>
      <c r="M8" s="63"/>
      <c r="N8" s="63"/>
      <c r="O8" s="63"/>
    </row>
    <row r="9" spans="1:15" ht="13.5" customHeight="1"/>
    <row r="10" spans="1:15" ht="13.5" customHeight="1">
      <c r="A10" s="362" t="str">
        <f>txt!B147</f>
        <v xml:space="preserve">Bitte beschreiben Sie kurz die zentrale Standardsoftware, für deren Nutzung Sie eine Lizenzgebühr von Ihren Kunden verlangen. </v>
      </c>
      <c r="B10" s="362"/>
      <c r="C10" s="362"/>
      <c r="D10" s="362"/>
      <c r="E10" s="362"/>
      <c r="F10" s="362"/>
      <c r="G10" s="362"/>
      <c r="H10" s="362"/>
      <c r="I10" s="362"/>
    </row>
    <row r="11" spans="1:15" ht="13.5" customHeight="1">
      <c r="A11" s="362" t="str">
        <f>txt!B148</f>
        <v>Definieren Sie dabei bitte auch den Umfang des Produktes (bspw. Basispaket vs. Komplettpaket, Vollversion vs. Studentenversion etc.)</v>
      </c>
      <c r="B11" s="362"/>
      <c r="C11" s="362"/>
      <c r="D11" s="362"/>
      <c r="E11" s="362"/>
      <c r="F11" s="362"/>
      <c r="G11" s="362"/>
      <c r="H11" s="362"/>
      <c r="I11" s="362"/>
    </row>
    <row r="12" spans="1:15" ht="40.5" customHeight="1">
      <c r="A12" s="359"/>
      <c r="B12" s="360"/>
      <c r="C12" s="360"/>
      <c r="D12" s="360"/>
      <c r="E12" s="360"/>
      <c r="F12" s="360"/>
      <c r="G12" s="360"/>
      <c r="H12" s="360"/>
      <c r="I12" s="361"/>
      <c r="J12" s="96"/>
    </row>
    <row r="13" spans="1:15" s="80" customFormat="1" ht="13.5" customHeight="1">
      <c r="A13" s="111"/>
      <c r="B13" s="111"/>
      <c r="C13" s="111"/>
      <c r="D13" s="111"/>
      <c r="E13" s="111"/>
      <c r="F13" s="111"/>
      <c r="G13" s="111"/>
      <c r="H13" s="111"/>
      <c r="I13" s="111"/>
      <c r="J13" s="111"/>
    </row>
    <row r="14" spans="1:15" ht="13.5" customHeight="1">
      <c r="D14" s="362" t="str">
        <f>txt!B157</f>
        <v>Kunde in der Schweiz</v>
      </c>
      <c r="E14" s="362"/>
      <c r="G14" s="362" t="str">
        <f>txt!B158</f>
        <v>Kunde im Ausland</v>
      </c>
      <c r="H14" s="362"/>
      <c r="I14" s="362"/>
      <c r="J14" s="74"/>
    </row>
    <row r="15" spans="1:15" ht="13.5" customHeight="1">
      <c r="D15" s="58"/>
      <c r="E15" s="135"/>
      <c r="F15" s="58"/>
      <c r="G15" s="58"/>
      <c r="H15" s="58"/>
      <c r="I15" s="58"/>
      <c r="J15" s="74"/>
    </row>
    <row r="16" spans="1:15" ht="13.5" customHeight="1">
      <c r="D16" s="97" t="str">
        <f>txt!B23</f>
        <v>März 2022</v>
      </c>
      <c r="E16" s="97" t="str">
        <f>txt!B24</f>
        <v>März 2021</v>
      </c>
      <c r="F16" s="58"/>
      <c r="G16" s="58"/>
      <c r="H16" s="97" t="str">
        <f>txt!B23</f>
        <v>März 2022</v>
      </c>
      <c r="I16" s="97" t="str">
        <f>txt!B24</f>
        <v>März 2021</v>
      </c>
      <c r="J16" s="74"/>
    </row>
    <row r="17" spans="1:11" ht="13.5" customHeight="1">
      <c r="D17" s="97" t="str">
        <f>txt!B166</f>
        <v>Preis</v>
      </c>
      <c r="E17" s="97" t="str">
        <f>txt!B166</f>
        <v>Preis</v>
      </c>
      <c r="F17" s="58"/>
      <c r="G17" s="58" t="str">
        <f>txt!B161</f>
        <v>Währung</v>
      </c>
      <c r="H17" s="97" t="str">
        <f>txt!B166</f>
        <v>Preis</v>
      </c>
      <c r="I17" s="97" t="str">
        <f>txt!B166</f>
        <v>Preis</v>
      </c>
      <c r="J17" s="74"/>
    </row>
    <row r="18" spans="1:11" ht="27" customHeight="1">
      <c r="A18" s="136" t="str">
        <f>txt!B149</f>
        <v>Durchschnittliche Lizenzgebühr bei einem Ersterwerb</v>
      </c>
      <c r="B18" s="137"/>
      <c r="C18" s="137"/>
      <c r="D18" s="275"/>
      <c r="E18" s="275"/>
      <c r="F18" s="130"/>
      <c r="G18" s="279" t="s">
        <v>159</v>
      </c>
      <c r="H18" s="284"/>
      <c r="I18" s="284"/>
      <c r="J18" s="74"/>
    </row>
    <row r="19" spans="1:11" ht="7.5" customHeight="1">
      <c r="A19" s="138"/>
      <c r="B19" s="137"/>
      <c r="C19" s="137"/>
      <c r="D19" s="139"/>
      <c r="E19" s="139"/>
      <c r="F19" s="139"/>
      <c r="G19" s="139"/>
      <c r="H19" s="139"/>
      <c r="I19" s="139"/>
      <c r="J19" s="74"/>
    </row>
    <row r="20" spans="1:11" ht="27" customHeight="1">
      <c r="A20" s="140" t="str">
        <f>txt!B150</f>
        <v>Recurring Fee (prozentualer Anteil im Vergleich zu dem  Ersterwerb der Software)</v>
      </c>
      <c r="B20" s="137"/>
      <c r="C20" s="137"/>
      <c r="D20" s="285"/>
      <c r="E20" s="285"/>
      <c r="F20" s="141"/>
      <c r="G20" s="141"/>
      <c r="H20" s="285"/>
      <c r="I20" s="285"/>
      <c r="J20" s="353"/>
    </row>
    <row r="21" spans="1:11" ht="7.5" customHeight="1">
      <c r="A21" s="138"/>
      <c r="B21" s="137"/>
      <c r="C21" s="137"/>
      <c r="D21" s="142"/>
      <c r="E21" s="142"/>
      <c r="F21" s="142"/>
      <c r="G21" s="142"/>
      <c r="H21" s="142"/>
      <c r="I21" s="142"/>
      <c r="J21" s="353"/>
    </row>
    <row r="22" spans="1:11" ht="67.5" customHeight="1">
      <c r="A22" s="242" t="str">
        <f>txt!B154</f>
        <v xml:space="preserve">Die durchschnittliche Lizenzgebühr errechnet sich aus den gesamten Erlösen aus der Lizenzgebühr der beschriebenen Software geteilt durch die Anzahl verkaufter Lizenzen. Dieser Wert unterscheidet sich vom Listenpreis insbesondere auch dann, wenn teilweise Rabatte gewährt werden. </v>
      </c>
      <c r="B22" s="137"/>
      <c r="C22" s="137"/>
      <c r="D22" s="363" t="str">
        <f>txt!B159</f>
        <v>Defintion "Kunde in der Schweiz": Adresse des Leistungsbezügers im Inland.</v>
      </c>
      <c r="E22" s="363"/>
      <c r="F22" s="142"/>
      <c r="G22" s="363" t="str">
        <f>txt!B160</f>
        <v>Definition "Kunde im Ausland": Adresse des Leistungsbezügers im Ausland.</v>
      </c>
      <c r="H22" s="363"/>
      <c r="I22" s="363"/>
      <c r="J22" s="96"/>
    </row>
    <row r="23" spans="1:11" ht="7.5" customHeight="1">
      <c r="A23" s="138"/>
      <c r="B23" s="137"/>
      <c r="C23" s="137"/>
      <c r="D23" s="142"/>
      <c r="E23" s="142"/>
      <c r="F23" s="142"/>
      <c r="G23" s="142"/>
      <c r="H23" s="142"/>
      <c r="I23" s="142"/>
      <c r="J23" s="96"/>
    </row>
    <row r="24" spans="1:11" ht="27" customHeight="1">
      <c r="A24" s="138"/>
      <c r="B24" s="137"/>
      <c r="C24" s="137"/>
      <c r="D24" s="363" t="str">
        <f>txt!B169</f>
        <v>Die Preise sind ohne Mehrwertsteuer anzugeben.</v>
      </c>
      <c r="E24" s="363"/>
      <c r="F24" s="142"/>
      <c r="G24" s="142"/>
      <c r="H24" s="142"/>
      <c r="I24" s="142"/>
      <c r="J24" s="96"/>
    </row>
    <row r="25" spans="1:11" ht="13.5" customHeight="1">
      <c r="A25" s="138"/>
      <c r="B25" s="137"/>
      <c r="C25" s="137"/>
      <c r="D25" s="142"/>
      <c r="E25" s="142"/>
      <c r="F25" s="142"/>
      <c r="G25" s="142"/>
      <c r="H25" s="142"/>
      <c r="I25" s="142"/>
      <c r="J25" s="96"/>
    </row>
    <row r="26" spans="1:11" ht="13.5" customHeight="1">
      <c r="A26" s="138"/>
      <c r="B26" s="137"/>
      <c r="C26" s="137"/>
      <c r="D26" s="142"/>
      <c r="F26" s="142"/>
      <c r="G26" s="142"/>
      <c r="H26" s="142"/>
      <c r="J26" s="96"/>
    </row>
    <row r="27" spans="1:11" ht="27" customHeight="1">
      <c r="A27" s="140" t="str">
        <f>txt!B151</f>
        <v>Haben sich die Merkmale der Standardsoftware gegenüber dem letzten Jahr (Stand: März 2021) verändert?</v>
      </c>
      <c r="B27" s="140"/>
      <c r="C27" s="140"/>
      <c r="D27" s="140"/>
      <c r="E27" s="143" t="str">
        <f>E16&amp;"   
"&amp;E17</f>
        <v>März 2021   
Preis</v>
      </c>
      <c r="F27" s="140"/>
      <c r="G27" s="135" t="str">
        <f>G17</f>
        <v>Währung</v>
      </c>
      <c r="H27" s="140"/>
      <c r="I27" s="143" t="str">
        <f>I16&amp;"   
"&amp;I17</f>
        <v>März 2021   
Preis</v>
      </c>
    </row>
    <row r="28" spans="1:11" ht="27" customHeight="1">
      <c r="A28" s="103" t="str">
        <f>txt!B152</f>
        <v>Falls ja, tragen Sie bitte den Preis ein, den Sie für eine Lizenz der aktuellen Software im Vorjahr verlangt hätten.</v>
      </c>
      <c r="B28" s="144"/>
      <c r="C28" s="144"/>
      <c r="D28" s="130"/>
      <c r="E28" s="275"/>
      <c r="F28" s="130"/>
      <c r="G28" s="279"/>
      <c r="H28" s="145"/>
      <c r="I28" s="284"/>
      <c r="J28" s="353"/>
    </row>
    <row r="29" spans="1:11" ht="13.5" customHeight="1">
      <c r="A29" s="144"/>
      <c r="B29" s="55"/>
      <c r="C29" s="55"/>
      <c r="J29" s="353"/>
      <c r="K29" s="56"/>
    </row>
    <row r="30" spans="1:11" ht="40.5" customHeight="1">
      <c r="A30" s="146" t="str">
        <f>txt!B153</f>
        <v xml:space="preserve">Gab es Preisänderungen ohne Änderungen im Leistungsumfang? Falls ja, bitte kurz begründen (Tarifänderungen, Marktlage etc.) </v>
      </c>
      <c r="B30" s="144"/>
      <c r="C30" s="144"/>
      <c r="D30" s="144"/>
      <c r="E30" s="144"/>
      <c r="F30" s="144"/>
      <c r="G30" s="144"/>
      <c r="H30" s="144"/>
      <c r="I30" s="144"/>
      <c r="J30" s="74"/>
    </row>
    <row r="31" spans="1:11" ht="53.25" customHeight="1">
      <c r="A31" s="276"/>
      <c r="B31" s="103"/>
      <c r="C31" s="103"/>
      <c r="D31" s="103"/>
      <c r="E31" s="103"/>
      <c r="F31" s="103"/>
      <c r="G31" s="103"/>
      <c r="H31" s="103"/>
      <c r="I31" s="103"/>
      <c r="J31" s="147"/>
    </row>
    <row r="32" spans="1:11" ht="13.5" customHeight="1">
      <c r="A32" s="148"/>
      <c r="B32" s="148"/>
      <c r="C32" s="148"/>
      <c r="D32" s="148"/>
      <c r="E32" s="148"/>
      <c r="F32" s="148"/>
      <c r="G32" s="148"/>
      <c r="H32" s="148"/>
      <c r="I32" s="148"/>
      <c r="J32" s="147"/>
    </row>
    <row r="33" spans="1:10" ht="13.5" customHeight="1">
      <c r="A33" s="116" t="str">
        <f>txt!B173&amp;":"</f>
        <v>Bemerkungen:</v>
      </c>
      <c r="B33" s="148"/>
      <c r="C33" s="148"/>
      <c r="D33" s="148"/>
      <c r="E33" s="148"/>
      <c r="F33" s="148"/>
      <c r="G33" s="148"/>
      <c r="H33" s="148"/>
      <c r="I33" s="148"/>
      <c r="J33" s="147"/>
    </row>
    <row r="34" spans="1:10" ht="54" customHeight="1">
      <c r="A34" s="359"/>
      <c r="B34" s="360"/>
      <c r="C34" s="360"/>
      <c r="D34" s="360"/>
      <c r="E34" s="360"/>
      <c r="F34" s="360"/>
      <c r="G34" s="360"/>
      <c r="H34" s="360"/>
      <c r="I34" s="361"/>
      <c r="J34" s="147"/>
    </row>
    <row r="35" spans="1:10" s="80" customFormat="1" ht="13.5" customHeight="1">
      <c r="A35" s="78">
        <f>Steuerung!E10</f>
        <v>1</v>
      </c>
      <c r="B35" s="111"/>
      <c r="C35" s="111"/>
      <c r="D35" s="111"/>
      <c r="E35" s="111"/>
      <c r="J35" s="111"/>
    </row>
    <row r="36" spans="1:10" ht="13.5" customHeight="1">
      <c r="A36" s="78">
        <f>Steuerung!H$9</f>
        <v>0</v>
      </c>
      <c r="C36" s="268" t="str">
        <f>txt!B221</f>
        <v>ZURÜCK</v>
      </c>
      <c r="G36" s="269" t="str">
        <f>IF($A$12="","",IF(OR($D$18="",AND($A$35=0,$H$18="")),"",IF(OR($E$18="",AND($A$35=0,$I$18="")),"",IF(AND(A35=0,G18=""),"",IF(A36=1,txt!$B$222,"")))))</f>
        <v/>
      </c>
      <c r="I36" s="112"/>
      <c r="J36" s="111"/>
    </row>
    <row r="37" spans="1:10" ht="13.5" customHeight="1">
      <c r="A37" s="78"/>
      <c r="D37" s="62"/>
      <c r="F37" s="112"/>
      <c r="G37" s="62"/>
      <c r="H37" s="112"/>
      <c r="I37" s="112"/>
    </row>
    <row r="38" spans="1:10" ht="13.5" customHeight="1">
      <c r="A38" s="78">
        <f>Steuerung!J$9</f>
        <v>0</v>
      </c>
      <c r="G38" s="269" t="str">
        <f>IF($A$12="","",IF(OR($D$18="",AND($A$35=0,$H$18="")),"",IF(OR($E$18="",AND($A$35=0,$I$18="")),"",IF(AND(A36=0,G18=""),"",IF(AND(A36=0,A38=1),txt!$B$222,"")))))</f>
        <v/>
      </c>
      <c r="I38" s="62"/>
    </row>
    <row r="39" spans="1:10" ht="13.5" customHeight="1">
      <c r="A39" s="78"/>
      <c r="F39" s="62"/>
      <c r="G39" s="62"/>
      <c r="H39" s="62"/>
      <c r="I39" s="62"/>
    </row>
    <row r="40" spans="1:10" ht="13.5" customHeight="1">
      <c r="A40" s="78">
        <f>Steuerung!L$9</f>
        <v>0</v>
      </c>
      <c r="G40" s="269" t="str">
        <f>IF($A$12="","",IF(OR($D$18="",AND($A$35=0,$H$18="")),"",IF(OR($E$18="",AND($A$35=0,$I$18="")),"",IF(AND(A38=0,G18=""),"",IF(AND(A36=0,A38=0,A40=1),txt!$B$222,"")))))</f>
        <v/>
      </c>
      <c r="I40" s="62"/>
    </row>
    <row r="41" spans="1:10" ht="13.5" customHeight="1">
      <c r="A41" s="78"/>
      <c r="F41" s="62"/>
      <c r="G41" s="62"/>
      <c r="H41" s="62"/>
      <c r="I41" s="62"/>
    </row>
    <row r="42" spans="1:10" ht="13.5" customHeight="1">
      <c r="A42" s="78">
        <f>Steuerung!N$9</f>
        <v>1</v>
      </c>
      <c r="G42" s="274" t="str">
        <f>IF($A$12="","",IF(OR($D$18="",AND($A$35=0,$H$18="")),"",IF(OR($E$18="",AND($A$35=0,$I$18="")),"",IF(AND(A40=0,G18=""),"",IF(AND(A36=0,A38=0,A40=0,A42=1),txt!$B$222,"")))))</f>
        <v/>
      </c>
      <c r="I42" s="62"/>
    </row>
    <row r="43" spans="1:10">
      <c r="G43" s="62"/>
    </row>
    <row r="44" spans="1:10">
      <c r="G44" s="62"/>
    </row>
    <row r="49" ht="12.95" customHeight="1"/>
  </sheetData>
  <sheetProtection algorithmName="SHA-512" hashValue="pfzySSagY/Rq+ESQJ2+a4NpL0eNdlhvMdstJzHbjGW3NuDhN5bw5TWvETVM6hE5f+kny24gfj3jajctzb6ugiw==" saltValue="ytC3sUh1spAtcMnxTmr+VQ==" spinCount="100000" sheet="1" objects="1" scenarios="1"/>
  <mergeCells count="15">
    <mergeCell ref="B1:F1"/>
    <mergeCell ref="B2:F2"/>
    <mergeCell ref="B3:F3"/>
    <mergeCell ref="A34:I34"/>
    <mergeCell ref="J20:J21"/>
    <mergeCell ref="J28:J29"/>
    <mergeCell ref="D14:E14"/>
    <mergeCell ref="G14:I14"/>
    <mergeCell ref="A10:I10"/>
    <mergeCell ref="A11:I11"/>
    <mergeCell ref="A12:I12"/>
    <mergeCell ref="D22:E22"/>
    <mergeCell ref="G22:I22"/>
    <mergeCell ref="D24:E24"/>
    <mergeCell ref="G7:I7"/>
  </mergeCells>
  <conditionalFormatting sqref="F37 I36 H37:I37">
    <cfRule type="containsText" dxfId="94" priority="13" operator="containsText" text="WEITER">
      <formula>NOT(ISERROR(SEARCH("WEITER",F36)))</formula>
    </cfRule>
  </conditionalFormatting>
  <conditionalFormatting sqref="F39 I38 H39:I39">
    <cfRule type="containsText" dxfId="93" priority="9" operator="containsText" text="WEITER">
      <formula>NOT(ISERROR(SEARCH("WEITER",F38)))</formula>
    </cfRule>
  </conditionalFormatting>
  <conditionalFormatting sqref="F41 I40 H41:I41">
    <cfRule type="containsText" dxfId="92" priority="8" operator="containsText" text="WEITER">
      <formula>NOT(ISERROR(SEARCH("WEITER",F40)))</formula>
    </cfRule>
  </conditionalFormatting>
  <conditionalFormatting sqref="I42">
    <cfRule type="containsText" dxfId="91" priority="7" operator="containsText" text="WEITER">
      <formula>NOT(ISERROR(SEARCH("WEITER",I42)))</formula>
    </cfRule>
  </conditionalFormatting>
  <conditionalFormatting sqref="G14:I31">
    <cfRule type="expression" dxfId="90" priority="5">
      <formula>$A$35=1</formula>
    </cfRule>
  </conditionalFormatting>
  <dataValidations count="2">
    <dataValidation type="list" allowBlank="1" showInputMessage="1" showErrorMessage="1" sqref="G28">
      <formula1>$B$161:$B$163</formula1>
    </dataValidation>
    <dataValidation type="textLength" allowBlank="1" showInputMessage="1" showErrorMessage="1" error="Bitte verwenden Sie nicht mehr als 199 Zeichen / S.v.p. utilisez 199 caractères au maximum" sqref="A12:I12">
      <formula1>0</formula1>
      <formula2>199</formula2>
    </dataValidation>
  </dataValidations>
  <hyperlinks>
    <hyperlink ref="C36" location="'102'!A1" display="'102'!A1"/>
    <hyperlink ref="G36" location="'2'!A1" display="'2'!A1"/>
    <hyperlink ref="G38" location="'3'!A1" display="'3'!A1"/>
    <hyperlink ref="G40" location="'4'!A1" display="'4'!A1"/>
    <hyperlink ref="G42" location="'5'!A1" display="'5'!A1"/>
  </hyperlinks>
  <pageMargins left="0.74803149606299213" right="0.74803149606299213" top="0.39370078740157483" bottom="0.19685039370078741" header="0.51181102362204722" footer="0.51181102362204722"/>
  <pageSetup paperSize="9" scale="79"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153B608B-96E8-2245-9451-17639716BD01}">
            <xm:f>txt!$B$222</xm:f>
            <x14:dxf>
              <font>
                <u/>
                <color rgb="FF0000FF"/>
              </font>
              <fill>
                <patternFill patternType="solid">
                  <fgColor indexed="64"/>
                  <bgColor rgb="FFFFFF00"/>
                </patternFill>
              </fill>
            </x14:dxf>
          </x14:cfRule>
          <xm:sqref>G36:G44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G18</xm:sqref>
        </x14:dataValidation>
      </x14:dataValidation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theme="6" tint="-0.499984740745262"/>
    <pageSetUpPr fitToPage="1"/>
  </sheetPr>
  <dimension ref="A1:J36"/>
  <sheetViews>
    <sheetView workbookViewId="0">
      <selection activeCell="C13" sqref="C13"/>
    </sheetView>
  </sheetViews>
  <sheetFormatPr baseColWidth="10" defaultColWidth="10.6640625" defaultRowHeight="12.75"/>
  <cols>
    <col min="1" max="1" width="50.6640625" style="245" customWidth="1"/>
    <col min="2" max="2" width="2.6640625" style="245" customWidth="1"/>
    <col min="3" max="3" width="32.6640625" style="245" customWidth="1"/>
    <col min="4" max="4" width="2.6640625" style="245" customWidth="1"/>
    <col min="5" max="5" width="32.6640625" style="245" customWidth="1"/>
    <col min="6" max="16384" width="10.6640625" style="245"/>
  </cols>
  <sheetData>
    <row r="1" spans="1:10" ht="15" customHeight="1">
      <c r="B1" s="325" t="str">
        <f>txt!B42</f>
        <v>Preiserhebung</v>
      </c>
      <c r="C1" s="325"/>
      <c r="D1" s="325"/>
      <c r="E1" s="246" t="str">
        <f>txt!B175</f>
        <v>Eidg. Departement des Innern</v>
      </c>
    </row>
    <row r="2" spans="1:10" ht="15" customHeight="1">
      <c r="B2" s="325" t="str">
        <f>txt!B43</f>
        <v>Produzentenpreisindex</v>
      </c>
      <c r="C2" s="325"/>
      <c r="D2" s="325"/>
      <c r="E2" s="246" t="str">
        <f>txt!B176</f>
        <v>Bundesamt für Statistik BFS</v>
      </c>
    </row>
    <row r="3" spans="1:10" ht="15" customHeight="1">
      <c r="B3" s="325" t="str">
        <f>txt!B44</f>
        <v>Informatikdienstleistungen</v>
      </c>
      <c r="C3" s="325"/>
      <c r="D3" s="325"/>
      <c r="E3" s="246" t="str">
        <f>txt!B177</f>
        <v>Abt. Wirtschaft, Sektion PREIS</v>
      </c>
    </row>
    <row r="4" spans="1:10" ht="13.5" customHeight="1">
      <c r="A4" s="255"/>
      <c r="B4" s="255"/>
      <c r="C4" s="255"/>
      <c r="D4" s="255"/>
    </row>
    <row r="5" spans="1:10" ht="13.5" customHeight="1">
      <c r="A5" s="255" t="str">
        <f>txt!B46</f>
        <v>PMS-Nr. 0</v>
      </c>
      <c r="B5" s="255"/>
      <c r="C5" s="255"/>
      <c r="D5" s="255"/>
      <c r="E5" s="256" t="str">
        <f>txt!B45</f>
        <v/>
      </c>
      <c r="F5" s="255"/>
      <c r="G5" s="255"/>
      <c r="H5" s="255"/>
      <c r="I5" s="246"/>
      <c r="J5" s="255"/>
    </row>
    <row r="6" spans="1:10" ht="13.5" customHeight="1">
      <c r="A6" s="255"/>
      <c r="B6" s="255"/>
      <c r="C6" s="255"/>
      <c r="D6" s="255"/>
    </row>
    <row r="7" spans="1:10" ht="13.5" customHeight="1">
      <c r="A7" s="255" t="str">
        <f>txt!B47&amp;": "&amp;txt!B50</f>
        <v>Geschäftsfeld: IT-Beratungsdienstleistungen</v>
      </c>
      <c r="B7" s="255"/>
      <c r="C7" s="255"/>
      <c r="D7" s="255"/>
      <c r="E7" s="286" t="str">
        <f>" "&amp;REPT("|",INT(Steuerung!V12*100))</f>
        <v xml:space="preserve"> </v>
      </c>
      <c r="F7" s="255"/>
      <c r="G7" s="255"/>
      <c r="H7" s="255"/>
      <c r="I7" s="255"/>
      <c r="J7" s="255"/>
    </row>
    <row r="8" spans="1:10" ht="13.5" customHeight="1">
      <c r="A8" s="255"/>
      <c r="B8" s="255"/>
      <c r="C8" s="255"/>
      <c r="D8" s="255"/>
      <c r="E8" s="260" t="str">
        <f>IF(SUM($C$13:$C$17)=1,IF(COUNTIF($E$13:$E$17,"")=2,IF(A28=1,"",""),txt!B229),txt!B230)</f>
        <v>Bitte geben Sie die Umsatzanteile richtig und vollständig an</v>
      </c>
    </row>
    <row r="9" spans="1:10" ht="13.5" customHeight="1">
      <c r="A9" s="255"/>
      <c r="B9" s="255"/>
      <c r="C9" s="255"/>
      <c r="D9" s="255"/>
    </row>
    <row r="10" spans="1:10" ht="13.5" customHeight="1">
      <c r="A10" s="364" t="str">
        <f>txt!B119&amp;" "&amp;txt!B50&amp;" "&amp;txt!B120</f>
        <v>Wie kann der Umsatz mit  IT-Beratungsdienstleistungen im Jahr 2021 aufgeteilt werden und welcher Anteil der Dienstleistung wird ins Ausland exportiert?</v>
      </c>
      <c r="B10" s="364"/>
      <c r="C10" s="364"/>
      <c r="D10" s="364"/>
      <c r="E10" s="364"/>
      <c r="F10" s="287"/>
      <c r="G10" s="287"/>
    </row>
    <row r="11" spans="1:10" ht="13.5" customHeight="1">
      <c r="A11" s="288"/>
      <c r="B11" s="288"/>
      <c r="C11" s="288"/>
      <c r="D11" s="289"/>
    </row>
    <row r="12" spans="1:10" ht="27" customHeight="1">
      <c r="A12" s="263"/>
      <c r="B12" s="290"/>
      <c r="C12" s="238" t="str">
        <f>txt!B121</f>
        <v>Umsatzanteil am Geschäftsfeld</v>
      </c>
      <c r="D12" s="290"/>
      <c r="E12" s="238" t="str">
        <f>txt!B122</f>
        <v>Exportanteil im Dienstleistungstyp</v>
      </c>
    </row>
    <row r="13" spans="1:10" ht="13.5" customHeight="1">
      <c r="A13" s="239" t="str">
        <f>txt!B48&amp;": "&amp;txt!B57</f>
        <v>Dienstleistungstyp: Beratung zu Hard- &amp; Softwarebeschaffung</v>
      </c>
      <c r="B13" s="290"/>
      <c r="C13" s="273"/>
      <c r="D13" s="290"/>
      <c r="E13" s="273"/>
    </row>
    <row r="14" spans="1:10" ht="7.5" customHeight="1">
      <c r="A14" s="239"/>
      <c r="B14" s="290"/>
      <c r="C14" s="291"/>
      <c r="D14" s="290"/>
      <c r="E14" s="291"/>
    </row>
    <row r="15" spans="1:10" ht="13.5" customHeight="1">
      <c r="A15" s="239" t="str">
        <f>txt!B48&amp;": "&amp;txt!B58</f>
        <v>Dienstleistungstyp: Expertise zur Systemintegration</v>
      </c>
      <c r="B15" s="290"/>
      <c r="C15" s="273"/>
      <c r="D15" s="290"/>
      <c r="E15" s="273"/>
    </row>
    <row r="16" spans="1:10" ht="7.5" customHeight="1">
      <c r="A16" s="239"/>
      <c r="B16" s="290"/>
      <c r="C16" s="291"/>
      <c r="D16" s="290"/>
      <c r="E16" s="291"/>
    </row>
    <row r="17" spans="1:5" ht="13.5" customHeight="1">
      <c r="A17" s="239" t="str">
        <f>txt!B48&amp;": "&amp;txt!B59</f>
        <v>Dienstleistungstyp: Schulung &amp; Training</v>
      </c>
      <c r="B17" s="290"/>
      <c r="C17" s="273"/>
      <c r="D17" s="290"/>
      <c r="E17" s="273"/>
    </row>
    <row r="18" spans="1:5" ht="13.5" customHeight="1">
      <c r="A18" s="263"/>
      <c r="B18" s="290"/>
      <c r="C18" s="240" t="str">
        <f>SUM(C13:C17)*100&amp;txt!$B$224</f>
        <v>0% von 100% zugeteilt</v>
      </c>
      <c r="D18" s="292"/>
      <c r="E18" s="293"/>
    </row>
    <row r="19" spans="1:5" ht="13.5" customHeight="1">
      <c r="A19" s="289"/>
      <c r="B19" s="289"/>
      <c r="C19" s="289"/>
      <c r="D19" s="289"/>
    </row>
    <row r="20" spans="1:5" ht="13.5" customHeight="1">
      <c r="A20" s="294" t="str">
        <f>txt!B218&amp;":"</f>
        <v>Definitionen:</v>
      </c>
      <c r="B20" s="295"/>
      <c r="C20" s="296"/>
      <c r="E20" s="295"/>
    </row>
    <row r="21" spans="1:5" ht="7.5" customHeight="1">
      <c r="A21" s="297"/>
      <c r="B21" s="295"/>
      <c r="C21" s="296"/>
      <c r="E21" s="297"/>
    </row>
    <row r="22" spans="1:5" ht="54" customHeight="1">
      <c r="A22" s="298" t="str">
        <f>txt!B74</f>
        <v xml:space="preserve">Der Dienstleistungstyp "Beratung zu Hard- und Softwarebeschaffung" beinhaltet die Bereitstellung von Rat oder Fachmeinungen zu IT-Angelegenheiten in Bezug auf Hardware, sowie auf die IT-Systeme und die Software. </v>
      </c>
      <c r="B22" s="295"/>
      <c r="C22" s="297"/>
      <c r="E22" s="365" t="str">
        <f>txt!B83</f>
        <v>Dienstleistungen gelten als exportiert, wenn die Adresse des Leistungsbezügers im Ausland liegt.</v>
      </c>
    </row>
    <row r="23" spans="1:5" ht="6.95" customHeight="1">
      <c r="A23" s="297"/>
      <c r="B23" s="295"/>
      <c r="C23" s="297"/>
      <c r="E23" s="365"/>
    </row>
    <row r="24" spans="1:5" ht="94.5" customHeight="1">
      <c r="A24" s="299" t="str">
        <f>txt!B75</f>
        <v>Der Dienstleistungstyp "Expertise zur Systemintegration" umfasst die Beratung zur Integration von Computersystemen (d.h. bspw. die Analyse des vorhandenen Computersystems des Kunden in Bezug auf seine gegenwärtigen sowie künftigen IT-Bedürfnisse), die Beratung bezüglich der Anschaffung neuer Geräte und Software sowie die Beratung zur Integration der neuen mit den alten Systemen zu einem neuen, integrierten System.</v>
      </c>
      <c r="B24" s="295"/>
      <c r="C24" s="295"/>
    </row>
    <row r="25" spans="1:5" ht="6.95" customHeight="1">
      <c r="A25" s="297"/>
      <c r="B25" s="295"/>
      <c r="C25" s="295"/>
    </row>
    <row r="26" spans="1:5" ht="54" customHeight="1">
      <c r="A26" s="299" t="str">
        <f>txt!B76</f>
        <v>Im Dienstleistungstyp "Schulung und Training" wird die Bereitstellung von Fachwissen zur Lösung von Problemen des Kunden bei der Nutzung von Software, Hardware und gesamten Computersystemen zusammengefasst.</v>
      </c>
      <c r="B26" s="295"/>
      <c r="C26" s="295"/>
    </row>
    <row r="27" spans="1:5" ht="13.5" customHeight="1">
      <c r="E27" s="300"/>
    </row>
    <row r="28" spans="1:5" ht="13.5" customHeight="1">
      <c r="A28" s="301">
        <f>Steuerung!B13</f>
        <v>0</v>
      </c>
      <c r="C28" s="303" t="str">
        <f>txt!B221</f>
        <v>ZURÜCK</v>
      </c>
      <c r="E28" s="269" t="str">
        <f>IF(SUM($C$13:$C$17)=1,IF(COUNTIF($E$13:$E$17,"")=2,IF(A28=1,txt!B222,""),""),"")</f>
        <v/>
      </c>
    </row>
    <row r="29" spans="1:5" ht="13.5" customHeight="1">
      <c r="A29" s="301"/>
      <c r="C29" s="302"/>
      <c r="E29" s="302"/>
    </row>
    <row r="30" spans="1:5" ht="13.5" customHeight="1">
      <c r="A30" s="301">
        <f>Steuerung!B17</f>
        <v>0</v>
      </c>
      <c r="E30" s="269" t="str">
        <f>IF(SUM($C$13:$C$17)=1,IF(COUNTIF($E$13:$E$17,"")=2,IF(AND(A28=0,A30=1),txt!B222,""),""),"")</f>
        <v/>
      </c>
    </row>
    <row r="31" spans="1:5" ht="13.5" customHeight="1">
      <c r="A31" s="301"/>
      <c r="E31" s="302"/>
    </row>
    <row r="32" spans="1:5" ht="13.5" customHeight="1">
      <c r="A32" s="301">
        <f>Steuerung!B21</f>
        <v>0</v>
      </c>
      <c r="E32" s="269" t="str">
        <f>IF(SUM($C$13:$C$17)=1,IF(COUNTIF($E$13:$E$17,"")=2,IF(AND(A28=0,A30=0,A32=1),txt!B222,""),""),"")</f>
        <v/>
      </c>
    </row>
    <row r="33" spans="5:5">
      <c r="E33" s="302"/>
    </row>
    <row r="34" spans="5:5">
      <c r="E34" s="302"/>
    </row>
    <row r="35" spans="5:5">
      <c r="E35" s="302"/>
    </row>
    <row r="36" spans="5:5">
      <c r="E36" s="302"/>
    </row>
  </sheetData>
  <sheetProtection algorithmName="SHA-512" hashValue="0G9/lTloVOOEOgRVh1IKGcFaM/kVmPjDCeZGhsOzA5QDOdYTyr8gK7BXEsG8ptZIyeKlNgj78+Asq+XyUvsbJA==" saltValue="012hfMhgzXWyPRjPNqc7vQ==" spinCount="100000" sheet="1" objects="1" scenarios="1"/>
  <mergeCells count="5">
    <mergeCell ref="A10:E10"/>
    <mergeCell ref="E22:E23"/>
    <mergeCell ref="B1:D1"/>
    <mergeCell ref="B2:D2"/>
    <mergeCell ref="B3:D3"/>
  </mergeCells>
  <conditionalFormatting sqref="E27">
    <cfRule type="containsText" dxfId="88" priority="2" operator="containsText" text="SUITE">
      <formula>NOT(ISERROR(SEARCH("SUITE",E27)))</formula>
    </cfRule>
    <cfRule type="containsText" dxfId="87" priority="3" operator="containsText" text="WEITER">
      <formula>NOT(ISERROR(SEARCH("WEITER",E27)))</formula>
    </cfRule>
  </conditionalFormatting>
  <dataValidations count="1">
    <dataValidation type="decimal" allowBlank="1" showInputMessage="1" showErrorMessage="1" sqref="C13:E17">
      <formula1>0</formula1>
      <formula2>1</formula2>
    </dataValidation>
  </dataValidations>
  <hyperlinks>
    <hyperlink ref="C28" location="'0'!A1" display="'0'!A1"/>
    <hyperlink ref="E28" location="'201'!A1" display="'201'!A1"/>
    <hyperlink ref="E30" location="'202'!A1" display="'202'!A1"/>
    <hyperlink ref="E32" location="'203'!A1" display="'203'!A1"/>
  </hyperlinks>
  <pageMargins left="0.74803149606299213" right="0.74803149606299213" top="0.39370078740157483" bottom="0.19685039370078741" header="0.51181102362204722" footer="0.51181102362204722"/>
  <pageSetup paperSize="9" scale="90" orientation="landscape"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74D3E872-9CE8-D944-9BE7-5DC152743D0C}">
            <xm:f>txt!$B$222</xm:f>
            <x14:dxf>
              <font>
                <u/>
                <color rgb="FF0000FF"/>
              </font>
              <fill>
                <patternFill patternType="solid">
                  <fgColor indexed="64"/>
                  <bgColor rgb="FFFFFF00"/>
                </patternFill>
              </fill>
            </x14:dxf>
          </x14:cfRule>
          <xm:sqref>E28:E36</xm:sqref>
        </x14:conditionalFormatting>
      </x14:conditionalFormattings>
    </ex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6" tint="0.59999389629810485"/>
    <pageSetUpPr fitToPage="1"/>
  </sheetPr>
  <dimension ref="A1:J32"/>
  <sheetViews>
    <sheetView workbookViewId="0">
      <selection activeCell="C12" sqref="C12"/>
    </sheetView>
  </sheetViews>
  <sheetFormatPr baseColWidth="10" defaultColWidth="10.6640625" defaultRowHeight="12.75"/>
  <cols>
    <col min="1" max="1" width="50.6640625" style="50" customWidth="1"/>
    <col min="2" max="2" width="2.6640625" style="50" customWidth="1"/>
    <col min="3" max="3" width="32.6640625" style="50" customWidth="1"/>
    <col min="4" max="4" width="2.6640625" style="50" customWidth="1"/>
    <col min="5" max="5" width="32.6640625" style="50" customWidth="1"/>
    <col min="6" max="16384" width="10.6640625" style="50"/>
  </cols>
  <sheetData>
    <row r="1" spans="1:10" ht="15" customHeight="1">
      <c r="B1" s="366" t="str">
        <f>txt!B42</f>
        <v>Preiserhebung</v>
      </c>
      <c r="C1" s="366"/>
      <c r="D1" s="366"/>
      <c r="E1" s="51" t="str">
        <f>txt!B175</f>
        <v>Eidg. Departement des Innern</v>
      </c>
    </row>
    <row r="2" spans="1:10" ht="15" customHeight="1">
      <c r="B2" s="366" t="str">
        <f>txt!B43</f>
        <v>Produzentenpreisindex</v>
      </c>
      <c r="C2" s="366"/>
      <c r="D2" s="366"/>
      <c r="E2" s="51" t="str">
        <f>txt!B176</f>
        <v>Bundesamt für Statistik BFS</v>
      </c>
    </row>
    <row r="3" spans="1:10" ht="15" customHeight="1">
      <c r="B3" s="366" t="str">
        <f>txt!B44</f>
        <v>Informatikdienstleistungen</v>
      </c>
      <c r="C3" s="366"/>
      <c r="D3" s="366"/>
      <c r="E3" s="51" t="str">
        <f>txt!B177</f>
        <v>Abt. Wirtschaft, Sektion PREIS</v>
      </c>
    </row>
    <row r="4" spans="1:10" ht="13.5" customHeight="1">
      <c r="A4" s="63"/>
      <c r="B4" s="63"/>
      <c r="C4" s="63"/>
      <c r="D4" s="63"/>
      <c r="E4" s="63"/>
      <c r="F4" s="63"/>
      <c r="G4" s="63"/>
      <c r="H4" s="63"/>
      <c r="I4" s="63"/>
      <c r="J4" s="63"/>
    </row>
    <row r="5" spans="1:10" ht="13.5" customHeight="1">
      <c r="A5" s="63" t="str">
        <f>txt!B46</f>
        <v>PMS-Nr. 0</v>
      </c>
      <c r="B5" s="63"/>
      <c r="C5" s="63"/>
      <c r="D5" s="63"/>
      <c r="E5" s="51" t="str">
        <f>txt!B45</f>
        <v/>
      </c>
      <c r="F5" s="63"/>
      <c r="G5" s="63"/>
      <c r="H5" s="63"/>
      <c r="J5" s="63"/>
    </row>
    <row r="6" spans="1:10" ht="13.5" customHeight="1">
      <c r="A6" s="63"/>
      <c r="B6" s="63"/>
      <c r="C6" s="63"/>
      <c r="D6" s="63"/>
      <c r="E6" s="63"/>
      <c r="F6" s="63"/>
      <c r="G6" s="63"/>
      <c r="H6" s="63"/>
      <c r="I6" s="63"/>
      <c r="J6" s="63"/>
    </row>
    <row r="7" spans="1:10" ht="13.5" customHeight="1">
      <c r="A7" s="63" t="str">
        <f>txt!B47&amp;": "&amp;txt!B50</f>
        <v>Geschäftsfeld: IT-Beratungsdienstleistungen</v>
      </c>
      <c r="B7" s="63"/>
      <c r="C7" s="63"/>
      <c r="D7" s="63"/>
      <c r="E7" s="83" t="str">
        <f>" "&amp;REPT("|",INT(Steuerung!V13*100))</f>
        <v xml:space="preserve"> </v>
      </c>
      <c r="F7" s="63"/>
      <c r="G7" s="63"/>
      <c r="H7" s="63"/>
      <c r="I7" s="63"/>
      <c r="J7" s="63"/>
    </row>
    <row r="8" spans="1:10" ht="13.5" customHeight="1">
      <c r="A8" s="63" t="str">
        <f>txt!B48&amp;": "&amp;txt!B57</f>
        <v>Dienstleistungstyp: Beratung zu Hard- &amp; Softwarebeschaffung</v>
      </c>
      <c r="B8" s="63"/>
      <c r="C8" s="63"/>
      <c r="D8" s="63"/>
      <c r="E8" s="65" t="str">
        <f>IF(COUNTIF(C12:C14,"")=3,txt!B231,"")</f>
        <v>Bitte wählen Sie eine häufig angewendete Preisfestsetzungsmethode</v>
      </c>
      <c r="F8" s="63"/>
      <c r="G8" s="63"/>
      <c r="H8" s="63"/>
      <c r="I8" s="63"/>
      <c r="J8" s="63"/>
    </row>
    <row r="9" spans="1:10" ht="13.5" customHeight="1">
      <c r="A9" s="53"/>
      <c r="B9" s="159"/>
      <c r="C9" s="159"/>
      <c r="D9" s="159"/>
      <c r="E9" s="98"/>
    </row>
    <row r="10" spans="1:10" s="57" customFormat="1" ht="13.5" customHeight="1">
      <c r="A10" s="58" t="str">
        <f>txt!B85</f>
        <v>Wie offerieren Sie normalerweise Ihre Dienstleistungen?</v>
      </c>
      <c r="E10" s="91"/>
    </row>
    <row r="11" spans="1:10" ht="27" customHeight="1">
      <c r="A11" s="60"/>
      <c r="B11" s="60"/>
      <c r="C11" s="59" t="str">
        <f>txt!B86</f>
        <v xml:space="preserve">Häufig angewendete Preisfestsetzungsmethode mit einem "X" kennzeichnen </v>
      </c>
      <c r="F11" s="156"/>
    </row>
    <row r="12" spans="1:10" ht="13.5" customHeight="1">
      <c r="A12" s="60" t="str">
        <f>txt!B88</f>
        <v>Zeithonorare</v>
      </c>
      <c r="B12" s="99"/>
      <c r="C12" s="134"/>
    </row>
    <row r="13" spans="1:10" ht="7.5" customHeight="1">
      <c r="A13" s="60"/>
      <c r="B13" s="99"/>
      <c r="C13" s="101"/>
    </row>
    <row r="14" spans="1:10" ht="13.5" customHeight="1">
      <c r="A14" s="158" t="str">
        <f>txt!B95</f>
        <v>Andere Form der Preisfestsetzung</v>
      </c>
      <c r="B14" s="150"/>
      <c r="C14" s="134"/>
    </row>
    <row r="15" spans="1:10" ht="13.5" customHeight="1">
      <c r="C15" s="80" t="str">
        <f>IF($C14="","",IF(A17="",txt!B84,""))</f>
        <v/>
      </c>
    </row>
    <row r="16" spans="1:10" ht="13.5" customHeight="1">
      <c r="A16" s="104" t="str">
        <f>txt!B105</f>
        <v>Kurzbeschrieb der anderen Form der Preisfestsetzung</v>
      </c>
    </row>
    <row r="17" spans="1:5" ht="54" customHeight="1">
      <c r="A17" s="341"/>
      <c r="B17" s="342"/>
      <c r="C17" s="343"/>
    </row>
    <row r="18" spans="1:5" ht="13.5" customHeight="1"/>
    <row r="19" spans="1:5" ht="13.5" customHeight="1">
      <c r="A19" s="72" t="str">
        <f>txt!B217&amp;":"</f>
        <v>Definition:</v>
      </c>
    </row>
    <row r="20" spans="1:5" ht="7.5" customHeight="1"/>
    <row r="21" spans="1:5" ht="53.25" customHeight="1">
      <c r="A21" s="154" t="str">
        <f>txt!B97</f>
        <v xml:space="preserve">Zeithonorare: Der Preis der Software richtet sich nach der tatsächlich geleisteten Arbeitszeit. Die Zeithonorare können sich in Abhängigkeit von Qualifikationsniveau, Funktion und/oder Seniorität der Programmierer unterscheiden. </v>
      </c>
    </row>
    <row r="22" spans="1:5" ht="13.5" customHeight="1"/>
    <row r="23" spans="1:5" ht="13.5" customHeight="1">
      <c r="C23" s="268" t="str">
        <f>txt!$B$221</f>
        <v>ZURÜCK</v>
      </c>
      <c r="E23" s="269" t="str">
        <f>IF(COUNTIF(C12:C14,"")=3,"",txt!B222)</f>
        <v/>
      </c>
    </row>
    <row r="24" spans="1:5">
      <c r="E24" s="62"/>
    </row>
    <row r="25" spans="1:5">
      <c r="C25" s="106"/>
      <c r="E25" s="62"/>
    </row>
    <row r="26" spans="1:5">
      <c r="C26" s="106"/>
      <c r="E26" s="62"/>
    </row>
    <row r="27" spans="1:5">
      <c r="E27" s="62"/>
    </row>
    <row r="28" spans="1:5">
      <c r="E28" s="62"/>
    </row>
    <row r="29" spans="1:5">
      <c r="E29" s="62"/>
    </row>
    <row r="30" spans="1:5">
      <c r="E30" s="62"/>
    </row>
    <row r="31" spans="1:5">
      <c r="E31" s="62"/>
    </row>
    <row r="32" spans="1:5" ht="12.95" customHeight="1"/>
  </sheetData>
  <sheetProtection algorithmName="SHA-512" hashValue="2dYbgWCd09FVQlVAlWJKdnGmIKzeLsf3gbs4XNxnVh3wUmG33hz+dcr3xO/S3chU13KFKehZdf9hOlP3KyArFQ==" saltValue="uBzb8uNkbOrNRIcXqFt7Fg==" spinCount="100000" sheet="1" objects="1" scenarios="1"/>
  <mergeCells count="4">
    <mergeCell ref="A17:C17"/>
    <mergeCell ref="B1:D1"/>
    <mergeCell ref="B2:D2"/>
    <mergeCell ref="B3:D3"/>
  </mergeCells>
  <hyperlinks>
    <hyperlink ref="C23" location="'2'!A1" display="'2'!A1"/>
    <hyperlink ref="E23" location="'21hCH'!A1" display="'21hCH'!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837757AB-5DA0-1049-9C57-623A62E76737}">
            <xm:f>txt!$B$222</xm:f>
            <x14:dxf>
              <font>
                <u/>
                <color rgb="FF0000FF"/>
              </font>
              <fill>
                <patternFill patternType="solid">
                  <fgColor indexed="64"/>
                  <bgColor rgb="FFFFFF00"/>
                </patternFill>
              </fill>
            </x14:dxf>
          </x14:cfRule>
          <xm:sqref>E23:E31</xm:sqref>
        </x14:conditionalFormatting>
      </x14:conditionalFormattings>
    </ex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6" tint="-0.249977111117893"/>
    <pageSetUpPr fitToPage="1"/>
  </sheetPr>
  <dimension ref="A1:P64"/>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63" t="str">
        <f>txt!B47&amp;": "&amp;txt!B50</f>
        <v>Geschäftsfeld: IT-Beratungsdienstleistungen</v>
      </c>
      <c r="B7" s="63"/>
      <c r="C7" s="63"/>
      <c r="D7" s="63"/>
      <c r="E7" s="63"/>
      <c r="F7" s="63"/>
      <c r="G7" s="63"/>
      <c r="H7" s="349" t="str">
        <f>" "&amp;REPT("|",INT(Steuerung!AA14*107))</f>
        <v xml:space="preserve"> </v>
      </c>
      <c r="I7" s="350"/>
      <c r="J7" s="350"/>
      <c r="K7" s="351"/>
      <c r="L7" s="63"/>
    </row>
    <row r="8" spans="1:16" ht="13.5" customHeight="1">
      <c r="A8" s="63" t="str">
        <f>txt!B48&amp;": "&amp;txt!B57</f>
        <v>Dienstleistungstyp: Beratung zu Hard- &amp; Softwarebeschaffung</v>
      </c>
      <c r="B8" s="63"/>
      <c r="C8" s="63"/>
      <c r="D8" s="63"/>
      <c r="E8" s="63"/>
      <c r="F8" s="63"/>
      <c r="G8" s="63"/>
      <c r="H8" s="63"/>
      <c r="I8" s="63"/>
      <c r="J8" s="63"/>
      <c r="K8" s="65" t="str">
        <f>IF(AND(COUNTIF($A$17:$A$25,"")=9,COUNTIF($A$30:$A$38,"")=9),txt!B228,IF(AND(SUM($C$17:$C$25)&lt;&gt;1,SUM($C$30:$C$38)&lt;&gt;1),txt!B227,IF(AND(COUNTIF($D$17,"")=1,COUNTIF($D$30,"")=1),txt!B235,IF(AND(COUNTIF($E$17:$E$25,"")=9,COUNTIF($E$30:$E$38,"")=9),txt!B233,IF(AND(COUNTIF($F$17:$F$25,"")=9,COUNTIF($F$30:$F$38,"")=9),txt!B234,IF(AND(COUNTIF($H$17:$H$25,"")=9,COUNTIF($H$30:$H$38,"")=9),txt!B251,IF(AND(COUNTIF($I$17:$I$25,"")=9,COUNTIF($I$30:$I$38,"")=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txt!B157</f>
        <v>Kunde in der Schweiz</v>
      </c>
      <c r="H13" s="57"/>
    </row>
    <row r="14" spans="1:16" ht="13.5" customHeight="1"/>
    <row r="15" spans="1:16" ht="13.5" customHeight="1">
      <c r="A15" s="69" t="str">
        <f>txt!B107&amp;"-"&amp;txt!B113</f>
        <v>Plan-Bereich</v>
      </c>
      <c r="B15" s="89"/>
      <c r="C15" s="118"/>
      <c r="D15" s="118"/>
      <c r="E15" s="118" t="str">
        <f>txt!B23</f>
        <v>März 2022</v>
      </c>
      <c r="F15" s="118" t="str">
        <f>txt!B24</f>
        <v>März 2021</v>
      </c>
      <c r="G15" s="119"/>
      <c r="H15" s="118" t="str">
        <f>E15</f>
        <v>März 2022</v>
      </c>
      <c r="I15" s="118" t="str">
        <f>F15</f>
        <v>März 2021</v>
      </c>
      <c r="J15" s="118"/>
      <c r="K15" s="118"/>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J16" s="118"/>
      <c r="K16" s="118"/>
      <c r="L16" s="120"/>
    </row>
    <row r="17" spans="1:12" ht="13.5" customHeight="1">
      <c r="A17" s="281" t="s">
        <v>662</v>
      </c>
      <c r="B17" s="89"/>
      <c r="C17" s="266"/>
      <c r="D17" s="121" t="s">
        <v>159</v>
      </c>
      <c r="E17" s="283"/>
      <c r="F17" s="283"/>
      <c r="G17" s="68"/>
      <c r="H17" s="266"/>
      <c r="I17" s="266"/>
      <c r="J17" s="68"/>
      <c r="K17" s="118"/>
      <c r="L17" s="120"/>
    </row>
    <row r="18" spans="1:12" ht="7.5" customHeight="1">
      <c r="A18" s="60"/>
      <c r="B18" s="89"/>
      <c r="C18" s="120"/>
      <c r="D18" s="120"/>
      <c r="E18" s="122"/>
      <c r="F18" s="122"/>
      <c r="G18" s="68"/>
      <c r="H18" s="120"/>
      <c r="I18" s="120"/>
      <c r="J18" s="68"/>
      <c r="K18" s="118"/>
      <c r="L18" s="120"/>
    </row>
    <row r="19" spans="1:12" ht="13.5" customHeight="1">
      <c r="A19" s="281" t="s">
        <v>663</v>
      </c>
      <c r="B19" s="89"/>
      <c r="C19" s="266"/>
      <c r="D19" s="121" t="s">
        <v>159</v>
      </c>
      <c r="E19" s="283"/>
      <c r="F19" s="283"/>
      <c r="G19" s="68"/>
      <c r="H19" s="266"/>
      <c r="I19" s="266"/>
      <c r="J19" s="68"/>
      <c r="K19" s="118"/>
      <c r="L19" s="120"/>
    </row>
    <row r="20" spans="1:12" ht="7.5" customHeight="1">
      <c r="A20" s="60"/>
      <c r="B20" s="89"/>
      <c r="C20" s="120"/>
      <c r="D20" s="120"/>
      <c r="E20" s="122"/>
      <c r="F20" s="122"/>
      <c r="G20" s="68"/>
      <c r="H20" s="120"/>
      <c r="I20" s="120"/>
      <c r="J20" s="68"/>
      <c r="K20" s="118"/>
      <c r="L20" s="120"/>
    </row>
    <row r="21" spans="1:12" ht="13.5" customHeight="1">
      <c r="A21" s="281" t="s">
        <v>664</v>
      </c>
      <c r="B21" s="89"/>
      <c r="C21" s="266"/>
      <c r="D21" s="121" t="s">
        <v>159</v>
      </c>
      <c r="E21" s="283"/>
      <c r="F21" s="283"/>
      <c r="G21" s="68"/>
      <c r="H21" s="266"/>
      <c r="I21" s="266"/>
      <c r="J21" s="68"/>
      <c r="K21" s="118"/>
      <c r="L21" s="120"/>
    </row>
    <row r="22" spans="1:12" ht="7.5" customHeight="1">
      <c r="A22" s="60"/>
      <c r="B22" s="89"/>
      <c r="C22" s="120"/>
      <c r="D22" s="120"/>
      <c r="E22" s="122"/>
      <c r="F22" s="122"/>
      <c r="G22" s="68"/>
      <c r="H22" s="120"/>
      <c r="I22" s="120"/>
      <c r="J22" s="68"/>
      <c r="K22" s="118"/>
      <c r="L22" s="120"/>
    </row>
    <row r="23" spans="1:12" ht="13.5" customHeight="1">
      <c r="A23" s="281"/>
      <c r="B23" s="89"/>
      <c r="C23" s="266"/>
      <c r="D23" s="121" t="s">
        <v>159</v>
      </c>
      <c r="E23" s="283"/>
      <c r="F23" s="283"/>
      <c r="G23" s="68"/>
      <c r="H23" s="266"/>
      <c r="I23" s="266"/>
      <c r="J23" s="68"/>
      <c r="K23" s="118"/>
      <c r="L23" s="120"/>
    </row>
    <row r="24" spans="1:12" ht="7.5" customHeight="1">
      <c r="A24" s="60"/>
      <c r="B24" s="89"/>
      <c r="C24" s="120"/>
      <c r="D24" s="120"/>
      <c r="E24" s="122"/>
      <c r="F24" s="122"/>
      <c r="G24" s="68"/>
      <c r="H24" s="120"/>
      <c r="I24" s="120"/>
      <c r="J24" s="68"/>
      <c r="K24" s="118"/>
      <c r="L24" s="120"/>
    </row>
    <row r="25" spans="1:12" ht="13.5" customHeight="1">
      <c r="A25" s="281"/>
      <c r="B25" s="89"/>
      <c r="C25" s="266"/>
      <c r="D25" s="121" t="s">
        <v>159</v>
      </c>
      <c r="E25" s="283"/>
      <c r="F25" s="283"/>
      <c r="G25" s="68"/>
      <c r="H25" s="266"/>
      <c r="I25" s="266"/>
      <c r="J25" s="68"/>
      <c r="K25" s="118"/>
      <c r="L25" s="120"/>
    </row>
    <row r="26" spans="1:12" ht="13.5" customHeight="1">
      <c r="A26" s="69"/>
      <c r="B26" s="89"/>
      <c r="C26" s="356" t="str">
        <f>SUM(C17:C25)*100&amp;txt!$B$224</f>
        <v>0% von 100% zugeteilt</v>
      </c>
      <c r="D26" s="356"/>
      <c r="E26" s="120"/>
      <c r="F26" s="120"/>
      <c r="G26" s="68"/>
      <c r="H26" s="120"/>
      <c r="I26" s="120"/>
      <c r="J26" s="68"/>
      <c r="K26" s="118"/>
      <c r="L26" s="120"/>
    </row>
    <row r="27" spans="1:12" ht="13.5" customHeight="1">
      <c r="A27" s="69"/>
      <c r="B27" s="89"/>
      <c r="C27" s="120"/>
      <c r="D27" s="120"/>
      <c r="E27" s="120"/>
      <c r="F27" s="120"/>
      <c r="G27" s="68"/>
      <c r="H27" s="120"/>
      <c r="I27" s="120"/>
      <c r="J27" s="68"/>
      <c r="K27" s="118"/>
      <c r="L27" s="120"/>
    </row>
    <row r="28" spans="1:12" ht="13.5" customHeight="1">
      <c r="A28" s="69" t="str">
        <f>txt!B109&amp;"-"&amp;txt!B113</f>
        <v>Build-Bereich</v>
      </c>
      <c r="B28" s="89"/>
      <c r="C28" s="120"/>
      <c r="D28" s="120"/>
      <c r="E28" s="120"/>
      <c r="F28" s="120"/>
      <c r="G28" s="68"/>
      <c r="H28" s="120"/>
      <c r="I28" s="120"/>
      <c r="J28" s="68"/>
      <c r="K28" s="118"/>
      <c r="L28" s="120"/>
    </row>
    <row r="29" spans="1:12" ht="13.5" customHeight="1">
      <c r="A29" s="69"/>
      <c r="B29" s="89"/>
      <c r="C29" s="120"/>
      <c r="D29" s="120"/>
      <c r="E29" s="120"/>
      <c r="F29" s="120"/>
      <c r="G29" s="68"/>
      <c r="H29" s="118"/>
      <c r="I29" s="118"/>
      <c r="J29" s="68"/>
      <c r="K29" s="118"/>
      <c r="L29" s="120"/>
    </row>
    <row r="30" spans="1:12" ht="13.5" customHeight="1">
      <c r="A30" s="281" t="s">
        <v>662</v>
      </c>
      <c r="B30" s="89"/>
      <c r="C30" s="266"/>
      <c r="D30" s="121" t="s">
        <v>159</v>
      </c>
      <c r="E30" s="282"/>
      <c r="F30" s="282"/>
      <c r="G30" s="89"/>
      <c r="H30" s="266"/>
      <c r="I30" s="266"/>
      <c r="J30" s="89"/>
      <c r="K30" s="118"/>
      <c r="L30" s="120"/>
    </row>
    <row r="31" spans="1:12" ht="7.5" customHeight="1">
      <c r="A31" s="60"/>
      <c r="B31" s="89"/>
      <c r="C31" s="61"/>
      <c r="D31" s="120"/>
      <c r="E31" s="123"/>
      <c r="F31" s="123"/>
      <c r="G31" s="89"/>
      <c r="H31" s="120"/>
      <c r="I31" s="120"/>
      <c r="J31" s="89"/>
      <c r="K31" s="118"/>
      <c r="L31" s="120"/>
    </row>
    <row r="32" spans="1:12" ht="13.5" customHeight="1">
      <c r="A32" s="281" t="s">
        <v>663</v>
      </c>
      <c r="B32" s="89"/>
      <c r="C32" s="266"/>
      <c r="D32" s="121" t="s">
        <v>159</v>
      </c>
      <c r="E32" s="282"/>
      <c r="F32" s="282"/>
      <c r="G32" s="89"/>
      <c r="H32" s="266"/>
      <c r="I32" s="266"/>
      <c r="J32" s="89"/>
      <c r="K32" s="118"/>
      <c r="L32" s="120"/>
    </row>
    <row r="33" spans="1:12" ht="7.5" customHeight="1">
      <c r="A33" s="60"/>
      <c r="B33" s="89"/>
      <c r="C33" s="61"/>
      <c r="D33" s="120"/>
      <c r="E33" s="123"/>
      <c r="F33" s="123"/>
      <c r="G33" s="89"/>
      <c r="H33" s="120"/>
      <c r="I33" s="120"/>
      <c r="J33" s="89"/>
      <c r="K33" s="118"/>
      <c r="L33" s="120"/>
    </row>
    <row r="34" spans="1:12" ht="13.5" customHeight="1">
      <c r="A34" s="281" t="s">
        <v>664</v>
      </c>
      <c r="B34" s="89"/>
      <c r="C34" s="266"/>
      <c r="D34" s="121" t="s">
        <v>159</v>
      </c>
      <c r="E34" s="282"/>
      <c r="F34" s="282"/>
      <c r="G34" s="89"/>
      <c r="H34" s="266"/>
      <c r="I34" s="266"/>
      <c r="J34" s="89"/>
      <c r="K34" s="118"/>
      <c r="L34" s="120"/>
    </row>
    <row r="35" spans="1:12" ht="7.5" customHeight="1">
      <c r="A35" s="60"/>
      <c r="B35" s="89"/>
      <c r="C35" s="61"/>
      <c r="D35" s="120"/>
      <c r="E35" s="123"/>
      <c r="F35" s="123"/>
      <c r="G35" s="89"/>
      <c r="H35" s="120"/>
      <c r="I35" s="120"/>
      <c r="J35" s="89"/>
      <c r="K35" s="118"/>
      <c r="L35" s="120"/>
    </row>
    <row r="36" spans="1:12" ht="13.5" customHeight="1">
      <c r="A36" s="281"/>
      <c r="B36" s="89"/>
      <c r="C36" s="266"/>
      <c r="D36" s="121" t="s">
        <v>159</v>
      </c>
      <c r="E36" s="282"/>
      <c r="F36" s="282"/>
      <c r="G36" s="89"/>
      <c r="H36" s="266"/>
      <c r="I36" s="266"/>
      <c r="J36" s="89"/>
      <c r="K36" s="118"/>
      <c r="L36" s="120"/>
    </row>
    <row r="37" spans="1:12" ht="7.5" customHeight="1">
      <c r="A37" s="60"/>
      <c r="B37" s="89"/>
      <c r="C37" s="61"/>
      <c r="D37" s="120"/>
      <c r="E37" s="123"/>
      <c r="F37" s="123"/>
      <c r="G37" s="89"/>
      <c r="H37" s="120"/>
      <c r="I37" s="120"/>
      <c r="J37" s="89"/>
      <c r="K37" s="118"/>
      <c r="L37" s="120"/>
    </row>
    <row r="38" spans="1:12" ht="13.5" customHeight="1">
      <c r="A38" s="281"/>
      <c r="B38" s="89"/>
      <c r="C38" s="266"/>
      <c r="D38" s="121" t="s">
        <v>159</v>
      </c>
      <c r="E38" s="282"/>
      <c r="F38" s="282"/>
      <c r="G38" s="89"/>
      <c r="H38" s="266"/>
      <c r="I38" s="266"/>
      <c r="J38" s="89"/>
      <c r="K38" s="118"/>
      <c r="L38" s="120"/>
    </row>
    <row r="39" spans="1:12" ht="13.5" customHeight="1">
      <c r="A39" s="69"/>
      <c r="B39" s="89"/>
      <c r="C39" s="356" t="str">
        <f>SUM(C30:C38)*100&amp;txt!$B$224</f>
        <v>0% von 100% zugeteilt</v>
      </c>
      <c r="D39" s="356"/>
      <c r="E39" s="120"/>
      <c r="F39" s="120"/>
      <c r="G39" s="68"/>
      <c r="H39" s="120"/>
      <c r="I39" s="120"/>
      <c r="J39" s="68"/>
      <c r="K39" s="118"/>
      <c r="L39" s="120"/>
    </row>
    <row r="40" spans="1:12" ht="13.5" customHeight="1">
      <c r="A40" s="69"/>
      <c r="B40" s="89"/>
      <c r="C40" s="120"/>
      <c r="D40" s="120"/>
      <c r="E40" s="120"/>
      <c r="F40" s="120"/>
      <c r="G40" s="68"/>
      <c r="H40" s="120"/>
      <c r="I40" s="120"/>
      <c r="J40" s="68"/>
      <c r="K40" s="118"/>
      <c r="L40" s="120"/>
    </row>
    <row r="41" spans="1:12" s="131" customFormat="1" ht="13.5" customHeight="1">
      <c r="A41" s="125" t="str">
        <f>txt!B138&amp;": "&amp;txt!B139</f>
        <v>Beispiel: Projektleiter</v>
      </c>
      <c r="B41" s="126"/>
      <c r="C41" s="127">
        <v>0.28000000000000003</v>
      </c>
      <c r="D41" s="128" t="s">
        <v>159</v>
      </c>
      <c r="E41" s="129">
        <v>160</v>
      </c>
      <c r="F41" s="129">
        <v>160</v>
      </c>
      <c r="G41" s="130"/>
      <c r="H41" s="209">
        <v>0.08</v>
      </c>
      <c r="I41" s="209">
        <v>0.05</v>
      </c>
      <c r="J41" s="130"/>
      <c r="K41" s="118"/>
    </row>
    <row r="42" spans="1:12" ht="7.5" customHeight="1">
      <c r="A42" s="69"/>
      <c r="B42" s="89"/>
      <c r="C42" s="120"/>
      <c r="D42" s="120"/>
      <c r="E42" s="120"/>
      <c r="F42" s="120"/>
      <c r="G42" s="68"/>
      <c r="H42" s="120"/>
      <c r="I42" s="120"/>
      <c r="J42" s="120"/>
      <c r="K42" s="120"/>
      <c r="L42" s="120"/>
    </row>
    <row r="43" spans="1:12" ht="27" customHeight="1">
      <c r="A43" s="233" t="str">
        <f>txt!B108</f>
        <v>Mitarbeiter des 'Plan'-Bereichs sind zum Beispiel  ICT-Berater, ICT-Architekten, ICT-Qualitätsmanager.</v>
      </c>
      <c r="B43" s="89"/>
      <c r="C43" s="339" t="str">
        <f>txt!B159</f>
        <v>Defintion "Kunde in der Schweiz": Adresse des Leistungsbezügers im Inland.</v>
      </c>
      <c r="D43" s="339"/>
      <c r="E43" s="339"/>
      <c r="F43" s="339"/>
      <c r="G43" s="68"/>
      <c r="H43" s="358"/>
      <c r="I43" s="358"/>
      <c r="J43" s="358"/>
      <c r="K43" s="358"/>
      <c r="L43" s="120"/>
    </row>
    <row r="44" spans="1:12" ht="7.5" customHeight="1">
      <c r="A44" s="69"/>
      <c r="B44" s="69"/>
      <c r="C44" s="69"/>
      <c r="D44" s="69"/>
      <c r="E44" s="69"/>
      <c r="F44" s="69"/>
      <c r="G44" s="69"/>
      <c r="H44" s="69"/>
      <c r="I44" s="69"/>
      <c r="J44" s="69"/>
      <c r="K44" s="69"/>
      <c r="L44" s="69"/>
    </row>
    <row r="45" spans="1:12" ht="40.5" customHeight="1">
      <c r="A45" s="233" t="str">
        <f>txt!B110</f>
        <v>Mitarbeiter des 'Build'-Bereichs sind zum Beispiel Applikationsentwickler, Systemingenieure, Wirtschaftsinformatiker.</v>
      </c>
      <c r="B45" s="89"/>
      <c r="C45" s="339" t="str">
        <f>txt!B169</f>
        <v>Die Preise sind ohne Mehrwertsteuer anzugeben.</v>
      </c>
      <c r="D45" s="339"/>
      <c r="E45" s="339"/>
      <c r="F45" s="339"/>
      <c r="G45" s="68"/>
      <c r="H45" s="358"/>
      <c r="I45" s="358"/>
      <c r="J45" s="358"/>
      <c r="K45" s="358"/>
      <c r="L45" s="120"/>
    </row>
    <row r="46" spans="1:12" ht="7.5" customHeight="1">
      <c r="A46" s="69"/>
      <c r="B46" s="89"/>
      <c r="C46" s="120"/>
      <c r="D46" s="120"/>
      <c r="E46" s="120"/>
      <c r="F46" s="120"/>
      <c r="G46" s="68"/>
      <c r="H46" s="120"/>
      <c r="I46" s="120"/>
      <c r="J46" s="120"/>
      <c r="K46" s="120"/>
      <c r="L46" s="120"/>
    </row>
    <row r="47" spans="1:12" ht="67.5" customHeight="1">
      <c r="A47" s="244" t="str">
        <f>txt!B145&amp;":
"&amp;txt!B146</f>
        <v>Stundenansätze:
Die ausgewiesenen Preise sollen den durchschnittlichen (über alle Kunden) effektiv verrechneten Stundenansätzen entsprechen (Rabatte sind separat auszuweisen).</v>
      </c>
      <c r="B47" s="89"/>
      <c r="C47" s="339" t="str">
        <f>txt!B155</f>
        <v xml:space="preserve">Die Zeitanteile der angegebenen Qualifikationsstufen müssen sich zu 100% addieren. Gegebenenfalls nicht genannte Qualifikationsstufen sind bei den Zeitanteilen also nicht zu berücksichtigen.  </v>
      </c>
      <c r="D47" s="339"/>
      <c r="E47" s="339"/>
      <c r="F47" s="339"/>
      <c r="G47" s="68"/>
      <c r="L47" s="120"/>
    </row>
    <row r="48" spans="1:12" ht="13.5" customHeight="1">
      <c r="A48" s="69"/>
      <c r="B48" s="89"/>
      <c r="C48" s="120"/>
      <c r="D48" s="120"/>
      <c r="E48" s="120"/>
      <c r="F48" s="120"/>
      <c r="G48" s="68"/>
      <c r="H48" s="120"/>
      <c r="I48" s="120"/>
      <c r="J48" s="120"/>
      <c r="K48" s="120"/>
      <c r="L48" s="120"/>
    </row>
    <row r="49" spans="1:12" ht="13.5" customHeight="1">
      <c r="A49" s="69" t="str">
        <f>txt!B173&amp;":"</f>
        <v>Bemerkungen:</v>
      </c>
      <c r="B49" s="89"/>
      <c r="C49" s="120"/>
      <c r="D49" s="120"/>
      <c r="E49" s="120"/>
      <c r="F49" s="120"/>
      <c r="G49" s="68"/>
      <c r="H49" s="120"/>
      <c r="I49" s="120"/>
      <c r="J49" s="120"/>
      <c r="K49" s="120"/>
      <c r="L49" s="120"/>
    </row>
    <row r="50" spans="1:12" ht="54" customHeight="1">
      <c r="A50" s="344"/>
      <c r="B50" s="345"/>
      <c r="C50" s="345"/>
      <c r="D50" s="345"/>
      <c r="E50" s="345"/>
      <c r="F50" s="345"/>
      <c r="G50" s="345"/>
      <c r="H50" s="345"/>
      <c r="I50" s="345"/>
      <c r="J50" s="345"/>
      <c r="K50" s="346"/>
      <c r="L50" s="120"/>
    </row>
    <row r="51" spans="1:12" ht="13.5" customHeight="1">
      <c r="A51" s="80"/>
      <c r="B51" s="91"/>
      <c r="C51" s="91"/>
      <c r="D51" s="56"/>
      <c r="E51" s="56"/>
    </row>
    <row r="52" spans="1:12" ht="13.5" customHeight="1">
      <c r="A52" s="78">
        <f>Steuerung!E$14</f>
        <v>0</v>
      </c>
      <c r="C52" s="268" t="str">
        <f>txt!B221</f>
        <v>ZURÜCK</v>
      </c>
      <c r="H52" s="269" t="str">
        <f>IF(AND(COUNTIF($A$17:$A$25,"")=9,COUNTIF($A$30:$A$38,"")=9),"",IF(AND(SUM($C$17:$C$25)&lt;&gt;1,SUM($C$30:$C$38)&lt;&gt;1),"",IF(AND(COUNTIF($D$17,"")=1,COUNTIF($D$30,"")=1),"",IF(AND(COUNTIF($E$17:$E$25,"")=9,COUNTIF($E$30:$E$38,"")=9),"",IF(AND(COUNTIF($F$17:$F$25,"")=9,COUNTIF($F$30:$F$38,"")=9),"",IF(AND(COUNTIF($H$17:$H$25,"")=9,COUNTIF($H$30:$H$38,"")=9),"",IF(AND(COUNTIF($I$17:$I$25,"")=9,COUNTIF($I$30:$I$38,"")=9),"",IF(A52=1,txt!$B$222,""))))))))</f>
        <v/>
      </c>
    </row>
    <row r="53" spans="1:12" ht="13.5" customHeight="1">
      <c r="A53" s="78"/>
      <c r="C53" s="62"/>
      <c r="H53" s="62"/>
    </row>
    <row r="54" spans="1:12" ht="13.5" customHeight="1">
      <c r="A54" s="78">
        <f>Steuerung!H$14</f>
        <v>0</v>
      </c>
      <c r="H54" s="269" t="str">
        <f>IF(AND(COUNTIF($A$17:$A$25,"")=9,COUNTIF($A$30:$A$38,"")=9),"",IF(AND(SUM($C$17:$C$25)&lt;&gt;1,SUM($C$30:$C$38)&lt;&gt;1),"",IF(AND(COUNTIF($D$17,"")=1,COUNTIF($D$30,"")=1),"",IF(AND(COUNTIF($E$17:$E$25,"")=9,COUNTIF($E$30:$E$38,"")=9),"",IF(AND(COUNTIF($F$17:$F$25,"")=9,COUNTIF($F$30:$F$38,"")=9),"",IF(AND(COUNTIF($H$17:$H$25,"")=9,COUNTIF($H$30:$H$38,"")=9),"",IF(AND(COUNTIF($I$17:$I$25,"")=9,COUNTIF($I$30:$I$38,"")=9),"",IF(AND(A52=0,A54=1),txt!$B$222,""))))))))</f>
        <v/>
      </c>
    </row>
    <row r="55" spans="1:12" ht="13.5" customHeight="1">
      <c r="A55" s="78"/>
      <c r="H55" s="62"/>
    </row>
    <row r="56" spans="1:12" ht="13.5" customHeight="1">
      <c r="A56" s="78">
        <f>Steuerung!J$14</f>
        <v>0</v>
      </c>
      <c r="H56" s="269" t="str">
        <f>IF(AND(COUNTIF($A$17:$A$25,"")=9,COUNTIF($A$30:$A$38,"")=9),"",IF(AND(SUM($C$17:$C$25)&lt;&gt;1,SUM($C$30:$C$38)&lt;&gt;1),"",IF(AND(COUNTIF($D$17,"")=1,COUNTIF($D$30,"")=1),"",IF(AND(COUNTIF($E$17:$E$25,"")=9,COUNTIF($E$30:$E$38,"")=9),"",IF(AND(COUNTIF($F$17:$F$25,"")=9,COUNTIF($F$30:$F$38,"")=9),"",IF(AND(COUNTIF($H$17:$H$25,"")=9,COUNTIF($H$30:$H$38,"")=9),"",IF(AND(COUNTIF($I$17:$I$25,"")=9,COUNTIF($I$30:$I$38,"")=9),"",IF(AND(A52=0,A54=0,A56=1),txt!$B$222,""))))))))</f>
        <v/>
      </c>
    </row>
    <row r="57" spans="1:12" ht="13.5" customHeight="1">
      <c r="A57" s="78"/>
      <c r="H57" s="62"/>
    </row>
    <row r="58" spans="1:12" ht="13.5" customHeight="1">
      <c r="A58" s="78">
        <f>Steuerung!L$14</f>
        <v>0</v>
      </c>
      <c r="H58" s="269" t="str">
        <f>IF(AND(COUNTIF($A$17:$A$25,"")=9,COUNTIF($A$30:$A$38,"")=9),"",IF(AND(SUM($C$17:$C$25)&lt;&gt;1,SUM($C$30:$C$38)&lt;&gt;1),"",IF(AND(COUNTIF($D$17,"")=1,COUNTIF($D$30,"")=1),"",IF(AND(COUNTIF($E$17:$E$25,"")=9,COUNTIF($E$30:$E$38,"")=9),"",IF(AND(COUNTIF($F$17:$F$25,"")=9,COUNTIF($F$30:$F$38,"")=9),"",IF(AND(COUNTIF($H$17:$H$25,"")=9,COUNTIF($H$30:$H$38,"")=9),"",IF(AND(COUNTIF($I$17:$I$25,"")=9,COUNTIF($I$30:$I$38,"")=9),"",IF(AND(A52=0,A54=0,A56=0,A58=1),txt!$B$222,""))))))))</f>
        <v/>
      </c>
    </row>
    <row r="59" spans="1:12" ht="13.5" customHeight="1">
      <c r="A59" s="78"/>
      <c r="H59" s="62"/>
    </row>
    <row r="60" spans="1:12" ht="13.5" customHeight="1">
      <c r="A60" s="78">
        <f>Steuerung!N$14</f>
        <v>0</v>
      </c>
      <c r="H60" s="269" t="str">
        <f>IF(AND(COUNTIF($A$17:$A$25,"")=9,COUNTIF($A$30:$A$38,"")=9),"",IF(AND(SUM($C$17:$C$25)&lt;&gt;1,SUM($C$30:$C$38)&lt;&gt;1),"",IF(AND(COUNTIF($D$17,"")=1,COUNTIF($D$30,"")=1),"",IF(AND(COUNTIF($E$17:$E$25,"")=9,COUNTIF($E$30:$E$38,"")=9),"",IF(AND(COUNTIF($F$17:$F$25,"")=9,COUNTIF($F$30:$F$38,"")=9),"",IF(AND(COUNTIF($H$17:$H$25,"")=9,COUNTIF($H$30:$H$38,"")=9),"",IF(AND(COUNTIF($I$17:$I$25,"")=9,COUNTIF($I$30:$I$38,"")=9),"",IF(AND(A52=0,A54=0,A56=0,A58=0,A60=1),txt!$B$222,""))))))))</f>
        <v/>
      </c>
    </row>
    <row r="61" spans="1:12" ht="13.5" customHeight="1">
      <c r="A61" s="78"/>
    </row>
    <row r="62" spans="1:12">
      <c r="A62" s="78">
        <f>Steuerung!P$14</f>
        <v>1</v>
      </c>
      <c r="H62" s="269" t="str">
        <f>IF(AND(COUNTIF($A$17:$A$25,"")=9,COUNTIF($A$30:$A$38,"")=9),"",IF(AND(SUM($C$17:$C$25)&lt;&gt;1,SUM($C$30:$C$38)&lt;&gt;1),"",IF(AND(COUNTIF($D$17,"")=1,COUNTIF($D$30,"")=1),"",IF(AND(COUNTIF($E$17:$E$25,"")=9,COUNTIF($E$30:$E$38,"")=9),"",IF(AND(COUNTIF($F$17:$F$25,"")=9,COUNTIF($F$30:$F$38,"")=9),"",IF(AND(COUNTIF($H$17:$H$25,"")=9,COUNTIF($H$30:$H$38,"")=9),"",IF(AND(COUNTIF($I$17:$I$25,"")=9,COUNTIF($I$30:$I$38,"")=9),"",IF(AND(A52=0,A54=0,A56=0,A58=0,A60=0,A62=1),txt!$B$222,""))))))))</f>
        <v/>
      </c>
    </row>
    <row r="63" spans="1:12">
      <c r="A63" s="80"/>
    </row>
    <row r="64" spans="1:12">
      <c r="A64" s="80"/>
    </row>
  </sheetData>
  <sheetProtection algorithmName="SHA-512" hashValue="bnSzEFJ1hGpVR52FyLtBvFjU2xnW91LkaqS+ntfYlYEF+Bx1xrrInx0KwVfHwrAQLlLXj7IKBTCDD1WMFrXo4Q==" saltValue="KRmKTmH+44rGl3YhxZ2rKQ==" spinCount="100000" sheet="1" objects="1" scenarios="1"/>
  <mergeCells count="14">
    <mergeCell ref="C1:F1"/>
    <mergeCell ref="C2:F2"/>
    <mergeCell ref="C3:F3"/>
    <mergeCell ref="A50:K50"/>
    <mergeCell ref="C43:F43"/>
    <mergeCell ref="H43:K43"/>
    <mergeCell ref="C45:F45"/>
    <mergeCell ref="C47:F47"/>
    <mergeCell ref="H45:K45"/>
    <mergeCell ref="A10:I10"/>
    <mergeCell ref="A11:I11"/>
    <mergeCell ref="C26:D26"/>
    <mergeCell ref="C39:D39"/>
    <mergeCell ref="H7:K7"/>
  </mergeCells>
  <conditionalFormatting sqref="H27:I28 H43:K47 J15:K16 J42:K42 K17:K41">
    <cfRule type="expression" dxfId="84" priority="3">
      <formula>$A$51=1</formula>
    </cfRule>
  </conditionalFormatting>
  <conditionalFormatting sqref="H12:K14">
    <cfRule type="expression" dxfId="83" priority="5">
      <formula>$A$51=1</formula>
    </cfRule>
  </conditionalFormatting>
  <dataValidations count="4">
    <dataValidation type="decimal" allowBlank="1" showInputMessage="1" showErrorMessage="1" sqref="C17:C25 C30:C38 H39:I39">
      <formula1>0</formula1>
      <formula2>1</formula2>
    </dataValidation>
    <dataValidation type="decimal" allowBlank="1" showInputMessage="1" showErrorMessage="1" sqref="I37 I18 I20 I26:I29 I31 I33 I22 I24 I35 H18 H20 H22 H24 H26:H29 H31 H33 H35 H37">
      <formula1>0</formula1>
      <formula2>0.99</formula2>
    </dataValidation>
    <dataValidation type="decimal" allowBlank="1" showInputMessage="1" showErrorMessage="1" error="Bitte geben Sie einen Wert zwischen 0% und 99% ein / Entrez une valeur entre 0% et 99%, s.v.p." sqref="H17:I17 H19:I19 H21:I21 H23:I23 H25:I25 H30:I30 H32:I32 H34:I34 H36:I36 H38:I38">
      <formula1>0</formula1>
      <formula2>0.99</formula2>
    </dataValidation>
    <dataValidation type="textLength" allowBlank="1" showInputMessage="1" showErrorMessage="1" error="Bitte verwenden Sie nicht mehr als 199 Zeichen / S.v.p. utilisez 199 caractères au maximum" sqref="A17 A19 A21 A23 A25 A30 A32 A34 A36 A38">
      <formula1>0</formula1>
      <formula2>199</formula2>
    </dataValidation>
  </dataValidations>
  <hyperlinks>
    <hyperlink ref="C52" location="'201'!A1" display="'201'!A1"/>
    <hyperlink ref="H62" location="'5'!A1" display="'5'!A1"/>
    <hyperlink ref="H60" location="'4'!A1" display="'4'!A1"/>
    <hyperlink ref="H58" location="'3'!A1" display="'3'!A1"/>
    <hyperlink ref="H56" location="'203'!A1" display="'203'!A1"/>
    <hyperlink ref="H54" location="'202'!A1" display="'202'!A1"/>
    <hyperlink ref="H52" location="'21hEX'!A1" display="'21hEX'!A1"/>
  </hyperlinks>
  <pageMargins left="0.74803149606299213" right="0.74803149606299213" top="0.39370078740157483" bottom="0.19685039370078741" header="0.51181102362204722" footer="0.51181102362204722"/>
  <pageSetup paperSize="9" scale="73"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2" operator="equal" id="{12026AA4-9CC8-A04A-BFF0-8BA8340F579F}">
            <xm:f>txt!$B$222</xm:f>
            <x14:dxf>
              <font>
                <u/>
                <color rgb="FF0000FF"/>
              </font>
              <fill>
                <patternFill patternType="solid">
                  <fgColor indexed="64"/>
                  <bgColor rgb="FFFFFF00"/>
                </patternFill>
              </fill>
            </x14:dxf>
          </x14:cfRule>
          <xm:sqref>H52:H60</xm:sqref>
        </x14:conditionalFormatting>
        <x14:conditionalFormatting xmlns:xm="http://schemas.microsoft.com/office/excel/2006/main">
          <x14:cfRule type="cellIs" priority="1" operator="equal" id="{B3499E1C-0186-4A4C-BBEB-97400D809E66}">
            <xm:f>txt!$B$222</xm:f>
            <x14:dxf>
              <font>
                <u/>
                <color rgb="FF0000FF"/>
              </font>
              <fill>
                <patternFill patternType="solid">
                  <fgColor indexed="64"/>
                  <bgColor rgb="FFFFFF00"/>
                </patternFill>
              </fill>
            </x14:dxf>
          </x14:cfRule>
          <xm:sqref>H62</xm:sqref>
        </x14:conditionalFormatting>
      </x14:conditionalFormattings>
    </ex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theme="6" tint="-0.249977111117893"/>
    <pageSetUpPr fitToPage="1"/>
  </sheetPr>
  <dimension ref="A1:P61"/>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63" t="str">
        <f>txt!B47&amp;": "&amp;txt!B50</f>
        <v>Geschäftsfeld: IT-Beratungsdienstleistungen</v>
      </c>
      <c r="B7" s="63"/>
      <c r="C7" s="63"/>
      <c r="D7" s="63"/>
      <c r="E7" s="63"/>
      <c r="F7" s="63"/>
      <c r="G7" s="63"/>
      <c r="H7" s="349" t="str">
        <f>" "&amp;REPT("|",INT(Steuerung!AF14*107))</f>
        <v xml:space="preserve"> </v>
      </c>
      <c r="I7" s="350"/>
      <c r="J7" s="350"/>
      <c r="K7" s="351"/>
      <c r="L7" s="63"/>
    </row>
    <row r="8" spans="1:16" ht="13.5" customHeight="1">
      <c r="A8" s="63" t="str">
        <f>txt!B48&amp;": "&amp;txt!B57</f>
        <v>Dienstleistungstyp: Beratung zu Hard- &amp; Softwarebeschaffung</v>
      </c>
      <c r="B8" s="63"/>
      <c r="C8" s="63"/>
      <c r="D8" s="63"/>
      <c r="E8" s="63"/>
      <c r="F8" s="63"/>
      <c r="G8" s="63"/>
      <c r="H8" s="63"/>
      <c r="I8" s="63"/>
      <c r="J8" s="63"/>
      <c r="K8" s="65" t="str">
        <f>IF(AND(COUNTIF($A$17:$A$25,"")=9,COUNTIF($A$30:$A$38,"")=9),txt!B228,IF(AND(SUM($C$17:$C$25)&lt;&gt;1,SUM($C$30:$C$38)&lt;&gt;1),txt!B227,IF(AND(COUNTIF($D$17,"")=1,COUNTIF($D$30,"")=1),txt!B235,IF(AND(COUNTIF($E$17:$E$25,"")=9,COUNTIF($E$30:$E$38,"")=9),txt!B233,IF(AND(COUNTIF($F$17:$F$25,"")=9,COUNTIF($F$30:$F$38,"")=9),txt!B234,IF(AND(COUNTIF($H$17:$H$25,"")=9,COUNTIF($H$30:$H$38,"")=9),txt!B251,IF(AND(COUNTIF($I$17:$I$25,"")=9,COUNTIF($I$30:$I$38,"")=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txt!B158</f>
        <v>Kunde im Ausland</v>
      </c>
      <c r="H13" s="57"/>
    </row>
    <row r="14" spans="1:16" ht="13.5" customHeight="1"/>
    <row r="15" spans="1:16" ht="13.5" customHeight="1">
      <c r="A15" s="69" t="str">
        <f>txt!B107&amp;"-"&amp;txt!B113</f>
        <v>Plan-Bereich</v>
      </c>
      <c r="B15" s="89"/>
      <c r="C15" s="118"/>
      <c r="D15" s="118"/>
      <c r="E15" s="118" t="str">
        <f>txt!B23</f>
        <v>März 2022</v>
      </c>
      <c r="F15" s="118" t="str">
        <f>txt!B24</f>
        <v>März 2021</v>
      </c>
      <c r="G15" s="119"/>
      <c r="H15" s="118" t="str">
        <f>E15</f>
        <v>März 2022</v>
      </c>
      <c r="I15" s="118" t="str">
        <f>F15</f>
        <v>März 2021</v>
      </c>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L16" s="120"/>
    </row>
    <row r="17" spans="1:12" ht="13.5" customHeight="1">
      <c r="A17" s="281" t="s">
        <v>662</v>
      </c>
      <c r="B17" s="89"/>
      <c r="C17" s="266"/>
      <c r="D17" s="305"/>
      <c r="E17" s="283"/>
      <c r="F17" s="283"/>
      <c r="G17" s="68"/>
      <c r="H17" s="266"/>
      <c r="I17" s="266"/>
      <c r="J17" s="68"/>
      <c r="L17" s="120"/>
    </row>
    <row r="18" spans="1:12" ht="7.5" customHeight="1">
      <c r="A18" s="60"/>
      <c r="B18" s="89"/>
      <c r="C18" s="120"/>
      <c r="D18" s="120"/>
      <c r="E18" s="122"/>
      <c r="F18" s="122"/>
      <c r="G18" s="68"/>
      <c r="H18" s="120"/>
      <c r="I18" s="120"/>
      <c r="J18" s="120"/>
      <c r="L18" s="120"/>
    </row>
    <row r="19" spans="1:12" ht="13.5" customHeight="1">
      <c r="A19" s="281" t="s">
        <v>663</v>
      </c>
      <c r="B19" s="89"/>
      <c r="C19" s="266"/>
      <c r="D19" s="121" t="str">
        <f>IF(C19="","",D17)</f>
        <v/>
      </c>
      <c r="E19" s="283"/>
      <c r="F19" s="283"/>
      <c r="G19" s="68"/>
      <c r="H19" s="266"/>
      <c r="I19" s="266"/>
      <c r="J19" s="68"/>
      <c r="L19" s="120"/>
    </row>
    <row r="20" spans="1:12" ht="7.5" customHeight="1">
      <c r="A20" s="60"/>
      <c r="B20" s="89"/>
      <c r="C20" s="120"/>
      <c r="D20" s="120"/>
      <c r="E20" s="122"/>
      <c r="F20" s="122"/>
      <c r="G20" s="68"/>
      <c r="H20" s="120"/>
      <c r="I20" s="120"/>
      <c r="J20" s="122"/>
      <c r="L20" s="120"/>
    </row>
    <row r="21" spans="1:12" ht="13.5" customHeight="1">
      <c r="A21" s="281" t="s">
        <v>664</v>
      </c>
      <c r="B21" s="89"/>
      <c r="C21" s="266"/>
      <c r="D21" s="121" t="str">
        <f>IF(C21="","",D19)</f>
        <v/>
      </c>
      <c r="E21" s="283"/>
      <c r="F21" s="283"/>
      <c r="G21" s="68"/>
      <c r="H21" s="266"/>
      <c r="I21" s="266"/>
      <c r="J21" s="68"/>
      <c r="L21" s="120"/>
    </row>
    <row r="22" spans="1:12" ht="7.5" customHeight="1">
      <c r="A22" s="60"/>
      <c r="B22" s="89"/>
      <c r="C22" s="120"/>
      <c r="D22" s="120"/>
      <c r="E22" s="122"/>
      <c r="F22" s="122"/>
      <c r="G22" s="68"/>
      <c r="H22" s="304"/>
      <c r="I22" s="304"/>
      <c r="J22" s="122"/>
      <c r="L22" s="120"/>
    </row>
    <row r="23" spans="1:12" ht="13.5" customHeight="1">
      <c r="A23" s="281"/>
      <c r="B23" s="89"/>
      <c r="C23" s="266"/>
      <c r="D23" s="121" t="str">
        <f>IF(C23="","",D21)</f>
        <v/>
      </c>
      <c r="E23" s="283"/>
      <c r="F23" s="283"/>
      <c r="G23" s="68"/>
      <c r="H23" s="266"/>
      <c r="I23" s="266"/>
      <c r="J23" s="68"/>
      <c r="L23" s="120"/>
    </row>
    <row r="24" spans="1:12" ht="7.5" customHeight="1">
      <c r="A24" s="60"/>
      <c r="B24" s="89"/>
      <c r="C24" s="120"/>
      <c r="D24" s="122"/>
      <c r="E24" s="122"/>
      <c r="F24" s="122"/>
      <c r="G24" s="68"/>
      <c r="H24" s="120"/>
      <c r="I24" s="120"/>
      <c r="J24" s="122"/>
      <c r="L24" s="120"/>
    </row>
    <row r="25" spans="1:12" ht="13.5" customHeight="1">
      <c r="A25" s="281"/>
      <c r="B25" s="89"/>
      <c r="C25" s="266"/>
      <c r="D25" s="121" t="str">
        <f>IF(C25="","",D23)</f>
        <v/>
      </c>
      <c r="E25" s="283"/>
      <c r="F25" s="283"/>
      <c r="G25" s="68"/>
      <c r="H25" s="266"/>
      <c r="I25" s="266"/>
      <c r="J25" s="68"/>
      <c r="L25" s="120"/>
    </row>
    <row r="26" spans="1:12" ht="13.5" customHeight="1">
      <c r="A26" s="69"/>
      <c r="B26" s="89"/>
      <c r="C26" s="356" t="str">
        <f>SUM(C17:C25)*100&amp;txt!$B$224</f>
        <v>0% von 100% zugeteilt</v>
      </c>
      <c r="D26" s="356"/>
      <c r="E26" s="120"/>
      <c r="F26" s="120"/>
      <c r="G26" s="68"/>
      <c r="H26" s="120"/>
      <c r="I26" s="120"/>
      <c r="J26" s="120"/>
      <c r="L26" s="120"/>
    </row>
    <row r="27" spans="1:12" ht="13.5" customHeight="1">
      <c r="A27" s="69"/>
      <c r="B27" s="89"/>
      <c r="C27" s="120"/>
      <c r="D27" s="120"/>
      <c r="E27" s="120"/>
      <c r="F27" s="120"/>
      <c r="G27" s="68"/>
      <c r="H27" s="120"/>
      <c r="I27" s="120"/>
      <c r="J27" s="120"/>
      <c r="L27" s="120"/>
    </row>
    <row r="28" spans="1:12" ht="13.5" customHeight="1">
      <c r="A28" s="69" t="str">
        <f>txt!B109&amp;"-"&amp;txt!B113</f>
        <v>Build-Bereich</v>
      </c>
      <c r="B28" s="89"/>
      <c r="C28" s="120"/>
      <c r="D28" s="120"/>
      <c r="E28" s="120"/>
      <c r="F28" s="120"/>
      <c r="G28" s="68"/>
      <c r="H28" s="120"/>
      <c r="I28" s="120"/>
      <c r="J28" s="120"/>
      <c r="L28" s="120"/>
    </row>
    <row r="29" spans="1:12" ht="13.5" customHeight="1">
      <c r="A29" s="69"/>
      <c r="B29" s="89"/>
      <c r="C29" s="120"/>
      <c r="D29" s="120"/>
      <c r="E29" s="120"/>
      <c r="F29" s="120"/>
      <c r="G29" s="68"/>
      <c r="H29" s="118"/>
      <c r="I29" s="118"/>
      <c r="J29" s="120"/>
      <c r="L29" s="120"/>
    </row>
    <row r="30" spans="1:12" ht="13.5" customHeight="1">
      <c r="A30" s="281" t="s">
        <v>662</v>
      </c>
      <c r="B30" s="89"/>
      <c r="C30" s="266"/>
      <c r="D30" s="305"/>
      <c r="E30" s="282"/>
      <c r="F30" s="282"/>
      <c r="G30" s="89"/>
      <c r="H30" s="266"/>
      <c r="I30" s="266"/>
      <c r="J30" s="68"/>
      <c r="L30" s="120"/>
    </row>
    <row r="31" spans="1:12" ht="7.5" customHeight="1">
      <c r="A31" s="60"/>
      <c r="B31" s="89"/>
      <c r="C31" s="61"/>
      <c r="D31" s="120"/>
      <c r="E31" s="123"/>
      <c r="F31" s="123"/>
      <c r="G31" s="89"/>
      <c r="H31" s="120"/>
      <c r="I31" s="120"/>
      <c r="J31" s="124"/>
      <c r="L31" s="120"/>
    </row>
    <row r="32" spans="1:12" ht="13.5" customHeight="1">
      <c r="A32" s="281" t="s">
        <v>663</v>
      </c>
      <c r="B32" s="89"/>
      <c r="C32" s="266"/>
      <c r="D32" s="121" t="str">
        <f>IF(C32="","",D30)</f>
        <v/>
      </c>
      <c r="E32" s="282"/>
      <c r="F32" s="282"/>
      <c r="G32" s="89"/>
      <c r="H32" s="266"/>
      <c r="I32" s="266"/>
      <c r="J32" s="68"/>
      <c r="L32" s="120"/>
    </row>
    <row r="33" spans="1:12" ht="7.5" customHeight="1">
      <c r="A33" s="60"/>
      <c r="B33" s="89"/>
      <c r="C33" s="61"/>
      <c r="D33" s="120"/>
      <c r="E33" s="123"/>
      <c r="F33" s="123"/>
      <c r="G33" s="89"/>
      <c r="H33" s="304"/>
      <c r="I33" s="120"/>
      <c r="J33" s="124"/>
      <c r="L33" s="120"/>
    </row>
    <row r="34" spans="1:12" ht="13.5" customHeight="1">
      <c r="A34" s="281" t="s">
        <v>664</v>
      </c>
      <c r="B34" s="89"/>
      <c r="C34" s="266"/>
      <c r="D34" s="121" t="str">
        <f>IF(C34="","",D32)</f>
        <v/>
      </c>
      <c r="E34" s="282"/>
      <c r="F34" s="282"/>
      <c r="G34" s="89"/>
      <c r="H34" s="266"/>
      <c r="I34" s="266"/>
      <c r="J34" s="68"/>
      <c r="L34" s="120"/>
    </row>
    <row r="35" spans="1:12" ht="7.5" customHeight="1">
      <c r="A35" s="60"/>
      <c r="B35" s="89"/>
      <c r="C35" s="61"/>
      <c r="D35" s="120"/>
      <c r="E35" s="123"/>
      <c r="F35" s="123"/>
      <c r="G35" s="89"/>
      <c r="H35" s="120"/>
      <c r="I35" s="120"/>
      <c r="J35" s="124"/>
      <c r="L35" s="120"/>
    </row>
    <row r="36" spans="1:12" ht="13.5" customHeight="1">
      <c r="A36" s="281"/>
      <c r="B36" s="89"/>
      <c r="C36" s="266"/>
      <c r="D36" s="121" t="str">
        <f>IF(C36="","",D34)</f>
        <v/>
      </c>
      <c r="E36" s="282"/>
      <c r="F36" s="282"/>
      <c r="G36" s="89"/>
      <c r="H36" s="266"/>
      <c r="I36" s="266"/>
      <c r="J36" s="68"/>
      <c r="L36" s="120"/>
    </row>
    <row r="37" spans="1:12" ht="7.5" customHeight="1">
      <c r="A37" s="60"/>
      <c r="B37" s="89"/>
      <c r="C37" s="61"/>
      <c r="D37" s="122"/>
      <c r="E37" s="123"/>
      <c r="F37" s="123"/>
      <c r="G37" s="89"/>
      <c r="H37" s="120"/>
      <c r="I37" s="120"/>
      <c r="J37" s="124"/>
      <c r="L37" s="120"/>
    </row>
    <row r="38" spans="1:12" ht="13.5" customHeight="1">
      <c r="A38" s="281"/>
      <c r="B38" s="89"/>
      <c r="C38" s="266"/>
      <c r="D38" s="121" t="str">
        <f>IF(C38="","",D36)</f>
        <v/>
      </c>
      <c r="E38" s="282"/>
      <c r="F38" s="282"/>
      <c r="G38" s="89"/>
      <c r="H38" s="266"/>
      <c r="I38" s="266"/>
      <c r="J38" s="68"/>
      <c r="L38" s="120"/>
    </row>
    <row r="39" spans="1:12" ht="13.5" customHeight="1">
      <c r="A39" s="69"/>
      <c r="B39" s="89"/>
      <c r="C39" s="356" t="str">
        <f>SUM(C30:C38)*100&amp;txt!$B$224</f>
        <v>0% von 100% zugeteilt</v>
      </c>
      <c r="D39" s="356"/>
      <c r="E39" s="120"/>
      <c r="F39" s="120"/>
      <c r="G39" s="68"/>
      <c r="H39" s="120"/>
      <c r="I39" s="120"/>
      <c r="J39" s="120"/>
      <c r="K39" s="120"/>
      <c r="L39" s="120"/>
    </row>
    <row r="40" spans="1:12" ht="13.5" customHeight="1">
      <c r="A40" s="69"/>
      <c r="B40" s="89"/>
      <c r="C40" s="120"/>
      <c r="D40" s="120"/>
      <c r="E40" s="120"/>
      <c r="F40" s="120"/>
      <c r="G40" s="68"/>
      <c r="H40" s="120"/>
      <c r="I40" s="120"/>
      <c r="J40" s="120"/>
      <c r="K40" s="120"/>
      <c r="L40" s="120"/>
    </row>
    <row r="41" spans="1:12" s="131" customFormat="1" ht="13.5" customHeight="1">
      <c r="A41" s="125" t="str">
        <f>txt!B138&amp;": "&amp;txt!B139</f>
        <v>Beispiel: Projektleiter</v>
      </c>
      <c r="B41" s="126"/>
      <c r="C41" s="127">
        <v>0.28000000000000003</v>
      </c>
      <c r="D41" s="128" t="s">
        <v>159</v>
      </c>
      <c r="E41" s="129">
        <v>160</v>
      </c>
      <c r="F41" s="129">
        <v>160</v>
      </c>
      <c r="G41" s="130"/>
      <c r="H41" s="209">
        <v>0.08</v>
      </c>
      <c r="I41" s="209">
        <v>0.05</v>
      </c>
      <c r="J41" s="130"/>
      <c r="K41" s="120"/>
    </row>
    <row r="42" spans="1:12" ht="7.5" customHeight="1">
      <c r="A42" s="69"/>
      <c r="B42" s="89"/>
      <c r="C42" s="120"/>
      <c r="D42" s="120"/>
      <c r="E42" s="120"/>
      <c r="F42" s="120"/>
      <c r="G42" s="68"/>
      <c r="H42" s="120"/>
      <c r="I42" s="120"/>
      <c r="J42" s="120"/>
      <c r="K42" s="120"/>
      <c r="L42" s="120"/>
    </row>
    <row r="43" spans="1:12" ht="27" customHeight="1">
      <c r="A43" s="233" t="str">
        <f>txt!B108</f>
        <v>Mitarbeiter des 'Plan'-Bereichs sind zum Beispiel  ICT-Berater, ICT-Architekten, ICT-Qualitätsmanager.</v>
      </c>
      <c r="B43" s="89"/>
      <c r="C43" s="339" t="str">
        <f>txt!B160</f>
        <v>Definition "Kunde im Ausland": Adresse des Leistungsbezügers im Ausland.</v>
      </c>
      <c r="D43" s="339"/>
      <c r="E43" s="339"/>
      <c r="F43" s="339"/>
      <c r="G43" s="68"/>
      <c r="H43" s="358"/>
      <c r="I43" s="358"/>
      <c r="J43" s="358"/>
      <c r="K43" s="358"/>
      <c r="L43" s="120"/>
    </row>
    <row r="44" spans="1:12" ht="7.5" customHeight="1">
      <c r="A44" s="69"/>
      <c r="B44" s="69"/>
      <c r="C44" s="69"/>
      <c r="D44" s="69"/>
      <c r="E44" s="69"/>
      <c r="F44" s="69"/>
      <c r="G44" s="69"/>
      <c r="H44" s="69"/>
      <c r="I44" s="69"/>
      <c r="J44" s="69"/>
      <c r="K44" s="69"/>
      <c r="L44" s="69"/>
    </row>
    <row r="45" spans="1:12" ht="40.5" customHeight="1">
      <c r="A45" s="233" t="str">
        <f>txt!B110</f>
        <v>Mitarbeiter des 'Build'-Bereichs sind zum Beispiel Applikationsentwickler, Systemingenieure, Wirtschaftsinformatiker.</v>
      </c>
      <c r="B45" s="89"/>
      <c r="C45" s="339" t="str">
        <f>txt!B169</f>
        <v>Die Preise sind ohne Mehrwertsteuer anzugeben.</v>
      </c>
      <c r="D45" s="339"/>
      <c r="E45" s="339"/>
      <c r="F45" s="339"/>
      <c r="G45" s="68"/>
      <c r="H45" s="358"/>
      <c r="I45" s="358"/>
      <c r="J45" s="358"/>
      <c r="K45" s="358"/>
      <c r="L45" s="120"/>
    </row>
    <row r="46" spans="1:12" ht="7.5" customHeight="1">
      <c r="A46" s="69"/>
      <c r="B46" s="89"/>
      <c r="C46" s="120"/>
      <c r="D46" s="120"/>
      <c r="E46" s="120"/>
      <c r="F46" s="120"/>
      <c r="G46" s="68"/>
      <c r="H46" s="120"/>
      <c r="I46" s="120"/>
      <c r="J46" s="120"/>
      <c r="K46" s="120"/>
      <c r="L46" s="120"/>
    </row>
    <row r="47" spans="1:12" ht="67.5" customHeight="1">
      <c r="A47" s="233" t="str">
        <f>txt!B145&amp;":
"&amp;txt!B146</f>
        <v>Stundenansätze:
Die ausgewiesenen Preise sollen den durchschnittlichen (über alle Kunden) effektiv verrechneten Stundenansätzen entsprechen (Rabatte sind separat auszuweisen).</v>
      </c>
      <c r="B47" s="89"/>
      <c r="C47" s="339" t="str">
        <f>txt!B155</f>
        <v xml:space="preserve">Die Zeitanteile der angegebenen Qualifikationsstufen müssen sich zu 100% addieren. Gegebenenfalls nicht genannte Qualifikationsstufen sind bei den Zeitanteilen also nicht zu berücksichtigen.  </v>
      </c>
      <c r="D47" s="339"/>
      <c r="E47" s="339"/>
      <c r="F47" s="339"/>
      <c r="G47" s="68"/>
      <c r="L47" s="120"/>
    </row>
    <row r="48" spans="1:12" ht="13.5" customHeight="1">
      <c r="A48" s="69"/>
      <c r="B48" s="89"/>
      <c r="C48" s="120"/>
      <c r="D48" s="120"/>
      <c r="E48" s="120"/>
      <c r="F48" s="120"/>
      <c r="G48" s="68"/>
      <c r="H48" s="120"/>
      <c r="I48" s="120"/>
      <c r="J48" s="120"/>
      <c r="K48" s="120"/>
      <c r="L48" s="120"/>
    </row>
    <row r="49" spans="1:12" ht="13.5" customHeight="1">
      <c r="A49" s="69" t="str">
        <f>txt!B173&amp;":"</f>
        <v>Bemerkungen:</v>
      </c>
      <c r="B49" s="89"/>
      <c r="C49" s="120"/>
      <c r="D49" s="120"/>
      <c r="E49" s="120"/>
      <c r="F49" s="120"/>
      <c r="G49" s="68"/>
      <c r="H49" s="120"/>
      <c r="I49" s="120"/>
      <c r="J49" s="120"/>
      <c r="K49" s="120"/>
      <c r="L49" s="120"/>
    </row>
    <row r="50" spans="1:12" ht="54" customHeight="1">
      <c r="A50" s="344"/>
      <c r="B50" s="345"/>
      <c r="C50" s="345"/>
      <c r="D50" s="345"/>
      <c r="E50" s="345"/>
      <c r="F50" s="345"/>
      <c r="G50" s="345"/>
      <c r="H50" s="345"/>
      <c r="I50" s="345"/>
      <c r="J50" s="345"/>
      <c r="K50" s="346"/>
      <c r="L50" s="120"/>
    </row>
    <row r="51" spans="1:12" ht="13.5" customHeight="1">
      <c r="A51" s="78">
        <f>Steuerung!E7</f>
        <v>1</v>
      </c>
      <c r="B51" s="91"/>
      <c r="C51" s="91"/>
      <c r="D51" s="56"/>
      <c r="E51" s="56"/>
    </row>
    <row r="52" spans="1:12" ht="13.5" customHeight="1">
      <c r="A52" s="78">
        <f>Steuerung!H$14</f>
        <v>0</v>
      </c>
      <c r="C52" s="268" t="str">
        <f>txt!B221</f>
        <v>ZURÜCK</v>
      </c>
      <c r="H52" s="269" t="str">
        <f>IF(AND(COUNTIF($A$17:$A$25,"")=9,COUNTIF($A$30:$A$38,"")=9),"",IF(AND(SUM($C$17:$C$25)&lt;&gt;1,SUM($C$30:$C$38)&lt;&gt;1),"",IF(AND(COUNTIF($D$17,"")=1,COUNTIF($D$30,"")=1),"",IF(AND(COUNTIF($E$17:$E$25,"")=9,COUNTIF($E$30:$E$38,"")=9),"",IF(AND(COUNTIF($F$17:$F$25,"")=9,COUNTIF($F$30:$F$38,"")=9),"",IF(AND(COUNTIF($H$17:$H$25,"")=9,COUNTIF($H$30:$H$38,"")=9),"",IF(AND(COUNTIF($I$17:$I$25,"")=9,COUNTIF($I$30:$I$38,"")=9),"",IF(A52=1,txt!$B$222,""))))))))</f>
        <v/>
      </c>
    </row>
    <row r="53" spans="1:12" ht="13.5" customHeight="1">
      <c r="A53" s="78"/>
      <c r="C53" s="62"/>
      <c r="H53" s="62"/>
    </row>
    <row r="54" spans="1:12" ht="13.5" customHeight="1">
      <c r="A54" s="78">
        <f>Steuerung!J$14</f>
        <v>0</v>
      </c>
      <c r="H54" s="269" t="str">
        <f>IF(AND(COUNTIF($A$17:$A$25,"")=9,COUNTIF($A$30:$A$38,"")=9),"",IF(AND(SUM($C$17:$C$25)&lt;&gt;1,SUM($C$30:$C$38)&lt;&gt;1),"",IF(AND(COUNTIF($D$17,"")=1,COUNTIF($D$30,"")=1),"",IF(AND(COUNTIF($E$17:$E$25,"")=9,COUNTIF($E$30:$E$38,"")=9),"",IF(AND(COUNTIF($F$17:$F$25,"")=9,COUNTIF($F$30:$F$38,"")=9),"",IF(AND(COUNTIF($H$17:$H$25,"")=9,COUNTIF($H$30:$H$38,"")=9),"",IF(AND(COUNTIF($I$17:$I$25,"")=9,COUNTIF($I$30:$I$38,"")=9),"",IF(AND(A52=0,A54=1),txt!$B$222,""))))))))</f>
        <v/>
      </c>
    </row>
    <row r="55" spans="1:12" ht="13.5" customHeight="1">
      <c r="A55" s="78"/>
      <c r="H55" s="62"/>
    </row>
    <row r="56" spans="1:12" ht="13.5" customHeight="1">
      <c r="A56" s="78">
        <f>Steuerung!L$14</f>
        <v>0</v>
      </c>
      <c r="H56" s="269" t="str">
        <f>IF(AND(COUNTIF($A$17:$A$25,"")=9,COUNTIF($A$30:$A$38,"")=9),"",IF(AND(SUM($C$17:$C$25)&lt;&gt;1,SUM($C$30:$C$38)&lt;&gt;1),"",IF(AND(COUNTIF($D$17,"")=1,COUNTIF($D$30,"")=1),"",IF(AND(COUNTIF($E$17:$E$25,"")=9,COUNTIF($E$30:$E$38,"")=9),"",IF(AND(COUNTIF($F$17:$F$25,"")=9,COUNTIF($F$30:$F$38,"")=9),"",IF(AND(COUNTIF($H$17:$H$25,"")=9,COUNTIF($H$30:$H$38,"")=9),"",IF(AND(COUNTIF($I$17:$I$25,"")=9,COUNTIF($I$30:$I$38,"")=9),"",IF(AND(A52=0,A54=0,A56=1),txt!$B$222,""))))))))</f>
        <v/>
      </c>
    </row>
    <row r="57" spans="1:12" ht="13.5" customHeight="1">
      <c r="A57" s="78"/>
      <c r="H57" s="62"/>
    </row>
    <row r="58" spans="1:12" ht="13.5" customHeight="1">
      <c r="A58" s="78">
        <f>Steuerung!N$14</f>
        <v>0</v>
      </c>
      <c r="H58" s="269" t="str">
        <f>IF(AND(COUNTIF($A$17:$A$25,"")=9,COUNTIF($A$30:$A$38,"")=9),"",IF(AND(SUM($C$17:$C$25)&lt;&gt;1,SUM($C$30:$C$38)&lt;&gt;1),"",IF(AND(COUNTIF($D$17,"")=1,COUNTIF($D$30,"")=1),"",IF(AND(COUNTIF($E$17:$E$25,"")=9,COUNTIF($E$30:$E$38,"")=9),"",IF(AND(COUNTIF($F$17:$F$25,"")=9,COUNTIF($F$30:$F$38,"")=9),"",IF(AND(COUNTIF($H$17:$H$25,"")=9,COUNTIF($H$30:$H$38,"")=9),"",IF(AND(COUNTIF($I$17:$I$25,"")=9,COUNTIF($I$30:$I$38,"")=9),"",IF(AND(A52=0,A54=0,A56=0,A58=1),txt!$B$222,""))))))))</f>
        <v/>
      </c>
    </row>
    <row r="59" spans="1:12" ht="13.5" customHeight="1">
      <c r="A59" s="78"/>
      <c r="H59" s="62"/>
    </row>
    <row r="60" spans="1:12" ht="13.5" customHeight="1">
      <c r="A60" s="78">
        <f>Steuerung!P$14</f>
        <v>1</v>
      </c>
      <c r="H60" s="269" t="str">
        <f>IF(AND(COUNTIF($A$17:$A$25,"")=9,COUNTIF($A$30:$A$38,"")=9),"",IF(AND(SUM($C$17:$C$25)&lt;&gt;1,SUM($C$30:$C$38)&lt;&gt;1),"",IF(AND(COUNTIF($D$17,"")=1,COUNTIF($D$30,"")=1),"",IF(AND(COUNTIF($E$17:$E$25,"")=9,COUNTIF($E$30:$E$38,"")=9),"",IF(AND(COUNTIF($F$17:$F$25,"")=9,COUNTIF($F$30:$F$38,"")=9),"",IF(AND(COUNTIF($H$17:$H$25,"")=9,COUNTIF($H$30:$H$38,"")=9),"",IF(AND(COUNTIF($I$17:$I$25,"")=9,COUNTIF($I$30:$I$38,"")=9),"",IF(AND(A52=0,A54=0,A56=0,A58=0,A60=1),txt!$B$222,""))))))))</f>
        <v/>
      </c>
    </row>
    <row r="61" spans="1:12" ht="13.5" customHeight="1"/>
  </sheetData>
  <sheetProtection algorithmName="SHA-512" hashValue="8GOAeKgVXcz3lHVzNoJcmLKiAcxds2ZPOgzrK6XnBCMuyoDbeSnViU0Bv/iBpWunEdr8BgUguoWVdb38c8p6Gw==" saltValue="9jbjDPuYWrw3cA/uIIdQOg==" spinCount="100000" sheet="1" objects="1" scenarios="1"/>
  <mergeCells count="14">
    <mergeCell ref="C47:F47"/>
    <mergeCell ref="A50:K50"/>
    <mergeCell ref="C26:D26"/>
    <mergeCell ref="C39:D39"/>
    <mergeCell ref="C43:F43"/>
    <mergeCell ref="H43:K43"/>
    <mergeCell ref="C45:F45"/>
    <mergeCell ref="H45:K45"/>
    <mergeCell ref="A11:I11"/>
    <mergeCell ref="C1:F1"/>
    <mergeCell ref="C2:F2"/>
    <mergeCell ref="C3:F3"/>
    <mergeCell ref="H7:K7"/>
    <mergeCell ref="A10:I10"/>
  </mergeCells>
  <dataValidations count="4">
    <dataValidation type="decimal" allowBlank="1" showInputMessage="1" showErrorMessage="1" sqref="C17:C25 C30:C38 H39:I39 J18">
      <formula1>0</formula1>
      <formula2>1</formula2>
    </dataValidation>
    <dataValidation type="decimal" allowBlank="1" showInputMessage="1" showErrorMessage="1" sqref="I37 I18 I20 I26:I29 I31 I33 I22 I24 I35 H18 H20 H22 H24 H26:H29 H31 H33 H35 H37">
      <formula1>0</formula1>
      <formula2>0.99</formula2>
    </dataValidation>
    <dataValidation type="decimal" allowBlank="1" showInputMessage="1" showErrorMessage="1" error="Bitte geben Sie einen Wert zwischen 0% und 99% ein / Entrez une valeur entre 0% et 99%, s.v.p." sqref="H17:I17 H19:I19 H21:I21 H23:I23 H25:I25 H30:I30 H32:I32 H34:I34 H36:I36 H38:I38">
      <formula1>0</formula1>
      <formula2>0.99</formula2>
    </dataValidation>
    <dataValidation type="textLength" allowBlank="1" showInputMessage="1" showErrorMessage="1" error="Bitte verwenden Sie nicht mehr als 199 Zeichen / S.v.p. utilisez 199 caractères au maximum" sqref="A17 A19 A21 A23 A25 A30 A32 A34 A36 A38">
      <formula1>0</formula1>
      <formula2>199</formula2>
    </dataValidation>
  </dataValidations>
  <hyperlinks>
    <hyperlink ref="C52" location="'21hCH'!A1" display="'21hCH'!A1"/>
    <hyperlink ref="H60" location="'5'!A1" display="'5'!A1"/>
    <hyperlink ref="H58" location="'4'!A1" display="'4'!A1"/>
    <hyperlink ref="H56" location="'3'!A1" display="'3'!A1"/>
    <hyperlink ref="H54" location="'203'!A1" display="'203'!A1"/>
    <hyperlink ref="H52" location="'202'!A1" display="'202'!A1"/>
  </hyperlinks>
  <pageMargins left="0.74803149606299213" right="0.74803149606299213" top="0.39370078740157483" bottom="0.19685039370078741" header="0.51181102362204722" footer="0.51181102362204722"/>
  <pageSetup paperSize="9" scale="73"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8001F115-7850-C348-8D0F-988AE5A12ACE}">
            <xm:f>txt!$B$222</xm:f>
            <x14:dxf>
              <font>
                <u/>
                <color rgb="FF0000FF"/>
              </font>
              <fill>
                <patternFill patternType="solid">
                  <fgColor indexed="64"/>
                  <bgColor rgb="FFFFFF00"/>
                </patternFill>
              </fill>
            </x14:dxf>
          </x14:cfRule>
          <xm:sqref>H52:H60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Bitte wählen Sie einen Wert aus dem Drop-Down-Menu / Sélectionnez une valeur dans le menu déroulant, s.v.p.">
          <x14:formula1>
            <xm:f>txt!$B$162:$B$164</xm:f>
          </x14:formula1>
          <xm:sqref>D30</xm:sqref>
        </x14:dataValidation>
        <x14:dataValidation type="list" allowBlank="1" showInputMessage="1" showErrorMessage="1" error="Bitte wählen Sie einen Wert aus dem Drop-Down-Menu / Sélectionnez une valeur dans le menu déroulant, s.v.p.">
          <x14:formula1>
            <xm:f>txt!$B$162:$B$164</xm:f>
          </x14:formula1>
          <xm:sqref>D17</xm:sqref>
        </x14:dataValidation>
      </x14:dataValidations>
    </ex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theme="6" tint="0.59999389629810485"/>
    <pageSetUpPr fitToPage="1"/>
  </sheetPr>
  <dimension ref="A1:J32"/>
  <sheetViews>
    <sheetView workbookViewId="0">
      <selection activeCell="C12" sqref="C12"/>
    </sheetView>
  </sheetViews>
  <sheetFormatPr baseColWidth="10" defaultColWidth="10.6640625" defaultRowHeight="12.75"/>
  <cols>
    <col min="1" max="1" width="50.6640625" style="50" customWidth="1"/>
    <col min="2" max="2" width="2.6640625" style="50" customWidth="1"/>
    <col min="3" max="3" width="32.6640625" style="50" customWidth="1"/>
    <col min="4" max="4" width="2.6640625" style="50" customWidth="1"/>
    <col min="5" max="5" width="32.6640625" style="50" customWidth="1"/>
    <col min="6" max="16384" width="10.6640625" style="50"/>
  </cols>
  <sheetData>
    <row r="1" spans="1:10" ht="15" customHeight="1">
      <c r="B1" s="366" t="str">
        <f>txt!B42</f>
        <v>Preiserhebung</v>
      </c>
      <c r="C1" s="366"/>
      <c r="D1" s="366"/>
      <c r="E1" s="51" t="str">
        <f>txt!B175</f>
        <v>Eidg. Departement des Innern</v>
      </c>
    </row>
    <row r="2" spans="1:10" ht="15" customHeight="1">
      <c r="B2" s="366" t="str">
        <f>txt!B43</f>
        <v>Produzentenpreisindex</v>
      </c>
      <c r="C2" s="366"/>
      <c r="D2" s="366"/>
      <c r="E2" s="51" t="str">
        <f>txt!B176</f>
        <v>Bundesamt für Statistik BFS</v>
      </c>
    </row>
    <row r="3" spans="1:10" ht="15" customHeight="1">
      <c r="B3" s="366" t="str">
        <f>txt!B44</f>
        <v>Informatikdienstleistungen</v>
      </c>
      <c r="C3" s="366"/>
      <c r="D3" s="366"/>
      <c r="E3" s="51" t="str">
        <f>txt!B177</f>
        <v>Abt. Wirtschaft, Sektion PREIS</v>
      </c>
    </row>
    <row r="4" spans="1:10" ht="13.5" customHeight="1">
      <c r="A4" s="63"/>
      <c r="B4" s="63"/>
      <c r="C4" s="63"/>
      <c r="D4" s="63"/>
      <c r="E4" s="63"/>
      <c r="F4" s="63"/>
      <c r="G4" s="63"/>
      <c r="H4" s="63"/>
      <c r="I4" s="63"/>
      <c r="J4" s="63"/>
    </row>
    <row r="5" spans="1:10" ht="13.5" customHeight="1">
      <c r="A5" s="63" t="str">
        <f>txt!B46</f>
        <v>PMS-Nr. 0</v>
      </c>
      <c r="B5" s="63"/>
      <c r="C5" s="63"/>
      <c r="D5" s="63"/>
      <c r="E5" s="51" t="str">
        <f>txt!B45</f>
        <v/>
      </c>
      <c r="F5" s="63"/>
      <c r="G5" s="63"/>
      <c r="H5" s="63"/>
      <c r="J5" s="63"/>
    </row>
    <row r="6" spans="1:10" ht="13.5" customHeight="1">
      <c r="A6" s="63"/>
      <c r="B6" s="63"/>
      <c r="C6" s="63"/>
      <c r="D6" s="63"/>
      <c r="E6" s="63"/>
      <c r="F6" s="63"/>
      <c r="G6" s="63"/>
      <c r="H6" s="63"/>
      <c r="I6" s="63"/>
      <c r="J6" s="63"/>
    </row>
    <row r="7" spans="1:10" ht="13.5" customHeight="1">
      <c r="A7" s="63" t="str">
        <f>txt!B47&amp;": "&amp;txt!B50</f>
        <v>Geschäftsfeld: IT-Beratungsdienstleistungen</v>
      </c>
      <c r="B7" s="63"/>
      <c r="C7" s="63"/>
      <c r="D7" s="63"/>
      <c r="E7" s="83" t="str">
        <f>" "&amp;REPT("|",INT(Steuerung!V17*100))</f>
        <v xml:space="preserve"> </v>
      </c>
      <c r="F7" s="63"/>
      <c r="G7" s="63"/>
      <c r="H7" s="63"/>
      <c r="I7" s="63"/>
      <c r="J7" s="63"/>
    </row>
    <row r="8" spans="1:10" ht="13.5" customHeight="1">
      <c r="A8" s="63" t="str">
        <f>txt!B48&amp;": "&amp;txt!B58</f>
        <v>Dienstleistungstyp: Expertise zur Systemintegration</v>
      </c>
      <c r="B8" s="63"/>
      <c r="C8" s="63"/>
      <c r="D8" s="63"/>
      <c r="E8" s="65" t="str">
        <f>IF(COUNTIF(C12:C14,"")=3,txt!B231,"")</f>
        <v>Bitte wählen Sie eine häufig angewendete Preisfestsetzungsmethode</v>
      </c>
      <c r="F8" s="63"/>
      <c r="G8" s="63"/>
      <c r="H8" s="63"/>
      <c r="I8" s="63"/>
      <c r="J8" s="63"/>
    </row>
    <row r="9" spans="1:10" ht="13.5" customHeight="1">
      <c r="A9" s="53"/>
      <c r="B9" s="159"/>
      <c r="C9" s="159"/>
      <c r="D9" s="159"/>
      <c r="E9" s="98"/>
    </row>
    <row r="10" spans="1:10" s="57" customFormat="1" ht="13.5" customHeight="1">
      <c r="A10" s="58" t="str">
        <f>txt!B85</f>
        <v>Wie offerieren Sie normalerweise Ihre Dienstleistungen?</v>
      </c>
      <c r="E10" s="91"/>
    </row>
    <row r="11" spans="1:10" ht="27" customHeight="1">
      <c r="A11" s="60"/>
      <c r="B11" s="60"/>
      <c r="C11" s="59" t="str">
        <f>txt!B86</f>
        <v xml:space="preserve">Häufig angewendete Preisfestsetzungsmethode mit einem "X" kennzeichnen </v>
      </c>
      <c r="F11" s="156"/>
    </row>
    <row r="12" spans="1:10" ht="13.5" customHeight="1">
      <c r="A12" s="60" t="str">
        <f>txt!B88</f>
        <v>Zeithonorare</v>
      </c>
      <c r="B12" s="99"/>
      <c r="C12" s="134"/>
    </row>
    <row r="13" spans="1:10" ht="7.5" customHeight="1">
      <c r="A13" s="60"/>
      <c r="B13" s="99"/>
      <c r="C13" s="101"/>
    </row>
    <row r="14" spans="1:10" ht="13.5" customHeight="1">
      <c r="A14" s="158" t="str">
        <f>txt!B95</f>
        <v>Andere Form der Preisfestsetzung</v>
      </c>
      <c r="B14" s="150"/>
      <c r="C14" s="134"/>
    </row>
    <row r="15" spans="1:10" ht="13.5" customHeight="1">
      <c r="C15" s="80" t="str">
        <f>IF($C14="","",IF(A17="",txt!B84,""))</f>
        <v/>
      </c>
    </row>
    <row r="16" spans="1:10" ht="13.5" customHeight="1">
      <c r="A16" s="104" t="str">
        <f>txt!B105</f>
        <v>Kurzbeschrieb der anderen Form der Preisfestsetzung</v>
      </c>
    </row>
    <row r="17" spans="1:5" ht="54" customHeight="1">
      <c r="A17" s="341"/>
      <c r="B17" s="342"/>
      <c r="C17" s="343"/>
    </row>
    <row r="18" spans="1:5" ht="13.5" customHeight="1"/>
    <row r="19" spans="1:5" ht="13.5" customHeight="1">
      <c r="A19" s="72" t="str">
        <f>txt!B217&amp;":"</f>
        <v>Definition:</v>
      </c>
    </row>
    <row r="20" spans="1:5" ht="7.5" customHeight="1"/>
    <row r="21" spans="1:5" ht="53.25" customHeight="1">
      <c r="A21" s="154" t="str">
        <f>txt!B97</f>
        <v xml:space="preserve">Zeithonorare: Der Preis der Software richtet sich nach der tatsächlich geleisteten Arbeitszeit. Die Zeithonorare können sich in Abhängigkeit von Qualifikationsniveau, Funktion und/oder Seniorität der Programmierer unterscheiden. </v>
      </c>
    </row>
    <row r="22" spans="1:5" ht="13.5" customHeight="1"/>
    <row r="23" spans="1:5" ht="13.5" customHeight="1">
      <c r="C23" s="268" t="str">
        <f>txt!$B$221</f>
        <v>ZURÜCK</v>
      </c>
      <c r="E23" s="269" t="str">
        <f>IF(COUNTIF(C12:C14,"")=3,"",txt!B222)</f>
        <v/>
      </c>
    </row>
    <row r="24" spans="1:5">
      <c r="E24" s="62"/>
    </row>
    <row r="25" spans="1:5">
      <c r="C25" s="106"/>
      <c r="E25" s="62"/>
    </row>
    <row r="26" spans="1:5">
      <c r="C26" s="106"/>
      <c r="E26" s="62"/>
    </row>
    <row r="27" spans="1:5">
      <c r="E27" s="62"/>
    </row>
    <row r="28" spans="1:5">
      <c r="E28" s="62"/>
    </row>
    <row r="29" spans="1:5">
      <c r="E29" s="62"/>
    </row>
    <row r="30" spans="1:5">
      <c r="E30" s="62"/>
    </row>
    <row r="31" spans="1:5">
      <c r="E31" s="62"/>
    </row>
    <row r="32" spans="1:5" ht="12.95" customHeight="1"/>
  </sheetData>
  <sheetProtection algorithmName="SHA-512" hashValue="FxXkRXtQKbvNMhmGR8l7L6MWDTbCwanXC7xWkWXVf1kEpANa/tldX8ttWnaU6aIpO1t54OBR8VuxAFrArnL8IQ==" saltValue="scHjXDrW3BzjyKF2VBuQ+A==" spinCount="100000" sheet="1" objects="1" scenarios="1"/>
  <mergeCells count="4">
    <mergeCell ref="A17:C17"/>
    <mergeCell ref="B1:D1"/>
    <mergeCell ref="B2:D2"/>
    <mergeCell ref="B3:D3"/>
  </mergeCells>
  <hyperlinks>
    <hyperlink ref="E23" location="'22hCH'!A1" display="'22hCH'!A1"/>
    <hyperlink ref="C23" location="'2'!A1" display="'2'!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D1D587B3-2BFA-1A41-903A-FC8367A7E0F6}">
            <xm:f>txt!$B$222</xm:f>
            <x14:dxf>
              <font>
                <u/>
                <color rgb="FF0000FF"/>
              </font>
              <fill>
                <patternFill patternType="solid">
                  <fgColor indexed="64"/>
                  <bgColor rgb="FFFFFF00"/>
                </patternFill>
              </fill>
            </x14:dxf>
          </x14:cfRule>
          <xm:sqref>E23:E31</xm:sqref>
        </x14:conditionalFormatting>
      </x14:conditionalFormattings>
    </ex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theme="6" tint="-0.249977111117893"/>
    <pageSetUpPr fitToPage="1"/>
  </sheetPr>
  <dimension ref="A1:P64"/>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63" t="str">
        <f>txt!B47&amp;": "&amp;txt!B50</f>
        <v>Geschäftsfeld: IT-Beratungsdienstleistungen</v>
      </c>
      <c r="B7" s="63"/>
      <c r="C7" s="63"/>
      <c r="D7" s="63"/>
      <c r="E7" s="63"/>
      <c r="F7" s="63"/>
      <c r="G7" s="63"/>
      <c r="H7" s="349" t="str">
        <f>" "&amp;REPT("|",INT(Steuerung!AA18*107))</f>
        <v xml:space="preserve"> </v>
      </c>
      <c r="I7" s="350"/>
      <c r="J7" s="350"/>
      <c r="K7" s="351"/>
      <c r="L7" s="63"/>
    </row>
    <row r="8" spans="1:16" ht="13.5" customHeight="1">
      <c r="A8" s="63" t="str">
        <f>txt!B48&amp;": "&amp;txt!B58</f>
        <v>Dienstleistungstyp: Expertise zur Systemintegration</v>
      </c>
      <c r="B8" s="63"/>
      <c r="C8" s="63"/>
      <c r="D8" s="63"/>
      <c r="E8" s="63"/>
      <c r="F8" s="63"/>
      <c r="G8" s="63"/>
      <c r="H8" s="63"/>
      <c r="I8" s="63"/>
      <c r="J8" s="63"/>
      <c r="K8" s="65" t="str">
        <f>IF(AND(COUNTIF($A$17:$A$25,"")=9,COUNTIF($A$30:$A$38,"")=9),txt!B228,IF(AND(SUM($C$17:$C$25)&lt;&gt;1,SUM($C$30:$C$38)&lt;&gt;1),txt!B227,IF(AND(COUNTIF($D$17,"")=1,COUNTIF($D$30,"")=1),txt!B235,IF(AND(COUNTIF($E$17:$E$25,"")=9,COUNTIF($E$30:$E$38,"")=9),txt!B233,IF(AND(COUNTIF($F$17:$F$25,"")=9,COUNTIF($F$30:$F$38,"")=9),txt!B234,IF(AND(COUNTIF($H$17:$H$25,"")=9,COUNTIF($H$30:$H$38,"")=9),txt!B251,IF(AND(COUNTIF($I$17:$I$25,"")=9,COUNTIF($I$30:$I$38,"")=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txt!B157</f>
        <v>Kunde in der Schweiz</v>
      </c>
      <c r="H13" s="57"/>
    </row>
    <row r="14" spans="1:16" ht="13.5" customHeight="1"/>
    <row r="15" spans="1:16" ht="13.5" customHeight="1">
      <c r="A15" s="69" t="str">
        <f>txt!B107&amp;"-"&amp;txt!B113</f>
        <v>Plan-Bereich</v>
      </c>
      <c r="B15" s="89"/>
      <c r="C15" s="118"/>
      <c r="D15" s="118"/>
      <c r="E15" s="118" t="str">
        <f>txt!B23</f>
        <v>März 2022</v>
      </c>
      <c r="F15" s="118" t="str">
        <f>txt!B24</f>
        <v>März 2021</v>
      </c>
      <c r="G15" s="119"/>
      <c r="H15" s="118" t="str">
        <f>E15</f>
        <v>März 2022</v>
      </c>
      <c r="I15" s="118" t="str">
        <f>F15</f>
        <v>März 2021</v>
      </c>
      <c r="J15" s="118"/>
      <c r="K15" s="118"/>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J16" s="118"/>
      <c r="K16" s="118"/>
      <c r="L16" s="120"/>
    </row>
    <row r="17" spans="1:12" ht="13.5" customHeight="1">
      <c r="A17" s="281" t="s">
        <v>662</v>
      </c>
      <c r="B17" s="89"/>
      <c r="C17" s="266"/>
      <c r="D17" s="121" t="s">
        <v>159</v>
      </c>
      <c r="E17" s="283"/>
      <c r="F17" s="283"/>
      <c r="G17" s="68"/>
      <c r="H17" s="266"/>
      <c r="I17" s="266"/>
      <c r="J17" s="68"/>
      <c r="K17" s="118"/>
      <c r="L17" s="120"/>
    </row>
    <row r="18" spans="1:12" ht="7.5" customHeight="1">
      <c r="A18" s="60"/>
      <c r="B18" s="89"/>
      <c r="C18" s="120"/>
      <c r="D18" s="120"/>
      <c r="E18" s="122"/>
      <c r="F18" s="122"/>
      <c r="G18" s="68"/>
      <c r="H18" s="120"/>
      <c r="I18" s="120"/>
      <c r="J18" s="68"/>
      <c r="K18" s="118"/>
      <c r="L18" s="120"/>
    </row>
    <row r="19" spans="1:12" ht="13.5" customHeight="1">
      <c r="A19" s="281" t="s">
        <v>663</v>
      </c>
      <c r="B19" s="89"/>
      <c r="C19" s="266"/>
      <c r="D19" s="121" t="s">
        <v>159</v>
      </c>
      <c r="E19" s="283"/>
      <c r="F19" s="283"/>
      <c r="G19" s="68"/>
      <c r="H19" s="266"/>
      <c r="I19" s="266"/>
      <c r="J19" s="68"/>
      <c r="K19" s="118"/>
      <c r="L19" s="120"/>
    </row>
    <row r="20" spans="1:12" ht="7.5" customHeight="1">
      <c r="A20" s="60"/>
      <c r="B20" s="89"/>
      <c r="C20" s="120"/>
      <c r="D20" s="120"/>
      <c r="E20" s="122"/>
      <c r="F20" s="122"/>
      <c r="G20" s="68"/>
      <c r="H20" s="120"/>
      <c r="I20" s="120"/>
      <c r="J20" s="68"/>
      <c r="K20" s="118"/>
      <c r="L20" s="120"/>
    </row>
    <row r="21" spans="1:12" ht="13.5" customHeight="1">
      <c r="A21" s="281" t="s">
        <v>664</v>
      </c>
      <c r="B21" s="89"/>
      <c r="C21" s="266"/>
      <c r="D21" s="121" t="s">
        <v>159</v>
      </c>
      <c r="E21" s="283"/>
      <c r="F21" s="283"/>
      <c r="G21" s="68"/>
      <c r="H21" s="266"/>
      <c r="I21" s="266"/>
      <c r="J21" s="68"/>
      <c r="K21" s="118"/>
      <c r="L21" s="120"/>
    </row>
    <row r="22" spans="1:12" ht="7.5" customHeight="1">
      <c r="A22" s="60"/>
      <c r="B22" s="89"/>
      <c r="C22" s="120"/>
      <c r="D22" s="120"/>
      <c r="E22" s="122"/>
      <c r="F22" s="122"/>
      <c r="G22" s="68"/>
      <c r="H22" s="120"/>
      <c r="I22" s="120"/>
      <c r="J22" s="68"/>
      <c r="K22" s="118"/>
      <c r="L22" s="120"/>
    </row>
    <row r="23" spans="1:12" ht="13.5" customHeight="1">
      <c r="A23" s="281"/>
      <c r="B23" s="89"/>
      <c r="C23" s="266"/>
      <c r="D23" s="121" t="s">
        <v>159</v>
      </c>
      <c r="E23" s="283"/>
      <c r="F23" s="283"/>
      <c r="G23" s="68"/>
      <c r="H23" s="266"/>
      <c r="I23" s="266"/>
      <c r="J23" s="68"/>
      <c r="K23" s="118"/>
      <c r="L23" s="120"/>
    </row>
    <row r="24" spans="1:12" ht="7.5" customHeight="1">
      <c r="A24" s="60"/>
      <c r="B24" s="89"/>
      <c r="C24" s="120"/>
      <c r="D24" s="120"/>
      <c r="E24" s="122"/>
      <c r="F24" s="122"/>
      <c r="G24" s="68"/>
      <c r="H24" s="120"/>
      <c r="I24" s="120"/>
      <c r="J24" s="68"/>
      <c r="K24" s="118"/>
      <c r="L24" s="120"/>
    </row>
    <row r="25" spans="1:12" ht="13.5" customHeight="1">
      <c r="A25" s="281"/>
      <c r="B25" s="89"/>
      <c r="C25" s="266"/>
      <c r="D25" s="121" t="s">
        <v>159</v>
      </c>
      <c r="E25" s="283"/>
      <c r="F25" s="283"/>
      <c r="G25" s="68"/>
      <c r="H25" s="266"/>
      <c r="I25" s="266"/>
      <c r="J25" s="68"/>
      <c r="K25" s="118"/>
      <c r="L25" s="120"/>
    </row>
    <row r="26" spans="1:12" ht="13.5" customHeight="1">
      <c r="A26" s="69"/>
      <c r="B26" s="89"/>
      <c r="C26" s="356" t="str">
        <f>SUM(C17:C25)*100&amp;txt!$B$224</f>
        <v>0% von 100% zugeteilt</v>
      </c>
      <c r="D26" s="356"/>
      <c r="E26" s="120"/>
      <c r="F26" s="120"/>
      <c r="G26" s="68"/>
      <c r="H26" s="120"/>
      <c r="I26" s="120"/>
      <c r="J26" s="68"/>
      <c r="K26" s="118"/>
      <c r="L26" s="120"/>
    </row>
    <row r="27" spans="1:12" ht="13.5" customHeight="1">
      <c r="A27" s="69"/>
      <c r="B27" s="89"/>
      <c r="C27" s="120"/>
      <c r="D27" s="120"/>
      <c r="E27" s="120"/>
      <c r="F27" s="120"/>
      <c r="G27" s="68"/>
      <c r="H27" s="120"/>
      <c r="I27" s="120"/>
      <c r="J27" s="68"/>
      <c r="K27" s="118"/>
      <c r="L27" s="120"/>
    </row>
    <row r="28" spans="1:12" ht="13.5" customHeight="1">
      <c r="A28" s="69" t="str">
        <f>txt!B109&amp;"-"&amp;txt!B113</f>
        <v>Build-Bereich</v>
      </c>
      <c r="B28" s="89"/>
      <c r="C28" s="120"/>
      <c r="D28" s="120"/>
      <c r="E28" s="120"/>
      <c r="F28" s="120"/>
      <c r="G28" s="68"/>
      <c r="H28" s="120"/>
      <c r="I28" s="120"/>
      <c r="J28" s="68"/>
      <c r="K28" s="118"/>
      <c r="L28" s="120"/>
    </row>
    <row r="29" spans="1:12" ht="13.5" customHeight="1">
      <c r="A29" s="69"/>
      <c r="B29" s="89"/>
      <c r="C29" s="120"/>
      <c r="D29" s="120"/>
      <c r="E29" s="120"/>
      <c r="F29" s="120"/>
      <c r="G29" s="68"/>
      <c r="H29" s="118"/>
      <c r="I29" s="118"/>
      <c r="J29" s="68"/>
      <c r="K29" s="118"/>
      <c r="L29" s="120"/>
    </row>
    <row r="30" spans="1:12" ht="13.5" customHeight="1">
      <c r="A30" s="281" t="s">
        <v>662</v>
      </c>
      <c r="B30" s="89"/>
      <c r="C30" s="266"/>
      <c r="D30" s="121" t="s">
        <v>159</v>
      </c>
      <c r="E30" s="282"/>
      <c r="F30" s="282"/>
      <c r="G30" s="89"/>
      <c r="H30" s="266"/>
      <c r="I30" s="266"/>
      <c r="J30" s="89"/>
      <c r="K30" s="118"/>
      <c r="L30" s="120"/>
    </row>
    <row r="31" spans="1:12" ht="7.5" customHeight="1">
      <c r="A31" s="60"/>
      <c r="B31" s="89"/>
      <c r="C31" s="61"/>
      <c r="D31" s="120"/>
      <c r="E31" s="123"/>
      <c r="F31" s="123"/>
      <c r="G31" s="89"/>
      <c r="H31" s="120"/>
      <c r="I31" s="120"/>
      <c r="J31" s="89"/>
      <c r="K31" s="118"/>
      <c r="L31" s="120"/>
    </row>
    <row r="32" spans="1:12" ht="13.5" customHeight="1">
      <c r="A32" s="281" t="s">
        <v>663</v>
      </c>
      <c r="B32" s="89"/>
      <c r="C32" s="266"/>
      <c r="D32" s="121" t="s">
        <v>159</v>
      </c>
      <c r="E32" s="282"/>
      <c r="F32" s="282"/>
      <c r="G32" s="89"/>
      <c r="H32" s="266"/>
      <c r="I32" s="266"/>
      <c r="J32" s="89"/>
      <c r="K32" s="118"/>
      <c r="L32" s="120"/>
    </row>
    <row r="33" spans="1:12" ht="7.5" customHeight="1">
      <c r="A33" s="60"/>
      <c r="B33" s="89"/>
      <c r="C33" s="61"/>
      <c r="D33" s="120"/>
      <c r="E33" s="123"/>
      <c r="F33" s="123"/>
      <c r="G33" s="89"/>
      <c r="H33" s="120"/>
      <c r="I33" s="120"/>
      <c r="J33" s="89"/>
      <c r="K33" s="118"/>
      <c r="L33" s="120"/>
    </row>
    <row r="34" spans="1:12" ht="13.5" customHeight="1">
      <c r="A34" s="281" t="s">
        <v>664</v>
      </c>
      <c r="B34" s="89"/>
      <c r="C34" s="266"/>
      <c r="D34" s="121" t="s">
        <v>159</v>
      </c>
      <c r="E34" s="282"/>
      <c r="F34" s="282"/>
      <c r="G34" s="89"/>
      <c r="H34" s="266"/>
      <c r="I34" s="266"/>
      <c r="J34" s="89"/>
      <c r="K34" s="118"/>
      <c r="L34" s="120"/>
    </row>
    <row r="35" spans="1:12" ht="7.5" customHeight="1">
      <c r="A35" s="60"/>
      <c r="B35" s="89"/>
      <c r="C35" s="61"/>
      <c r="D35" s="120"/>
      <c r="E35" s="123"/>
      <c r="F35" s="123"/>
      <c r="G35" s="89"/>
      <c r="H35" s="120"/>
      <c r="I35" s="120"/>
      <c r="J35" s="89"/>
      <c r="K35" s="118"/>
      <c r="L35" s="120"/>
    </row>
    <row r="36" spans="1:12" ht="13.5" customHeight="1">
      <c r="A36" s="281"/>
      <c r="B36" s="89"/>
      <c r="C36" s="266"/>
      <c r="D36" s="121" t="s">
        <v>159</v>
      </c>
      <c r="E36" s="282"/>
      <c r="F36" s="282"/>
      <c r="G36" s="89"/>
      <c r="H36" s="266"/>
      <c r="I36" s="266"/>
      <c r="J36" s="89"/>
      <c r="K36" s="118"/>
      <c r="L36" s="120"/>
    </row>
    <row r="37" spans="1:12" ht="7.5" customHeight="1">
      <c r="A37" s="60"/>
      <c r="B37" s="89"/>
      <c r="C37" s="61"/>
      <c r="D37" s="120"/>
      <c r="E37" s="123"/>
      <c r="F37" s="123"/>
      <c r="G37" s="89"/>
      <c r="H37" s="120"/>
      <c r="I37" s="120"/>
      <c r="J37" s="89"/>
      <c r="K37" s="118"/>
      <c r="L37" s="120"/>
    </row>
    <row r="38" spans="1:12" ht="13.5" customHeight="1">
      <c r="A38" s="281"/>
      <c r="B38" s="89"/>
      <c r="C38" s="266"/>
      <c r="D38" s="121" t="s">
        <v>159</v>
      </c>
      <c r="E38" s="282"/>
      <c r="F38" s="282"/>
      <c r="G38" s="89"/>
      <c r="H38" s="266"/>
      <c r="I38" s="266"/>
      <c r="J38" s="89"/>
      <c r="K38" s="118"/>
      <c r="L38" s="120"/>
    </row>
    <row r="39" spans="1:12" ht="13.5" customHeight="1">
      <c r="A39" s="69"/>
      <c r="B39" s="89"/>
      <c r="C39" s="356" t="str">
        <f>SUM(C30:C38)*100&amp;txt!$B$224</f>
        <v>0% von 100% zugeteilt</v>
      </c>
      <c r="D39" s="356"/>
      <c r="E39" s="120"/>
      <c r="F39" s="120"/>
      <c r="G39" s="68"/>
      <c r="H39" s="120"/>
      <c r="I39" s="120"/>
      <c r="J39" s="68"/>
      <c r="K39" s="118"/>
      <c r="L39" s="120"/>
    </row>
    <row r="40" spans="1:12" ht="13.5" customHeight="1">
      <c r="A40" s="69"/>
      <c r="B40" s="89"/>
      <c r="C40" s="120"/>
      <c r="D40" s="120"/>
      <c r="E40" s="120"/>
      <c r="F40" s="120"/>
      <c r="G40" s="68"/>
      <c r="H40" s="120"/>
      <c r="I40" s="120"/>
      <c r="J40" s="68"/>
      <c r="K40" s="118"/>
      <c r="L40" s="120"/>
    </row>
    <row r="41" spans="1:12" s="131" customFormat="1" ht="13.5" customHeight="1">
      <c r="A41" s="125" t="str">
        <f>txt!B138&amp;": "&amp;txt!B139</f>
        <v>Beispiel: Projektleiter</v>
      </c>
      <c r="B41" s="126"/>
      <c r="C41" s="127">
        <v>0.28000000000000003</v>
      </c>
      <c r="D41" s="128" t="s">
        <v>159</v>
      </c>
      <c r="E41" s="129">
        <v>160</v>
      </c>
      <c r="F41" s="129">
        <v>160</v>
      </c>
      <c r="G41" s="130"/>
      <c r="H41" s="209">
        <v>0.08</v>
      </c>
      <c r="I41" s="209">
        <v>0.05</v>
      </c>
      <c r="J41" s="130"/>
      <c r="K41" s="118"/>
    </row>
    <row r="42" spans="1:12" ht="7.5" customHeight="1">
      <c r="A42" s="69"/>
      <c r="B42" s="89"/>
      <c r="C42" s="120"/>
      <c r="D42" s="120"/>
      <c r="E42" s="120"/>
      <c r="F42" s="120"/>
      <c r="G42" s="68"/>
      <c r="H42" s="120"/>
      <c r="I42" s="120"/>
      <c r="J42" s="120"/>
      <c r="K42" s="118"/>
      <c r="L42" s="120"/>
    </row>
    <row r="43" spans="1:12" ht="27" customHeight="1">
      <c r="A43" s="233" t="str">
        <f>txt!B108</f>
        <v>Mitarbeiter des 'Plan'-Bereichs sind zum Beispiel  ICT-Berater, ICT-Architekten, ICT-Qualitätsmanager.</v>
      </c>
      <c r="B43" s="89"/>
      <c r="C43" s="339" t="str">
        <f>txt!B159</f>
        <v>Defintion "Kunde in der Schweiz": Adresse des Leistungsbezügers im Inland.</v>
      </c>
      <c r="D43" s="339"/>
      <c r="E43" s="339"/>
      <c r="F43" s="339"/>
      <c r="G43" s="68"/>
      <c r="H43" s="358"/>
      <c r="I43" s="358"/>
      <c r="J43" s="358"/>
      <c r="K43" s="358"/>
      <c r="L43" s="120"/>
    </row>
    <row r="44" spans="1:12" ht="7.5" customHeight="1">
      <c r="A44" s="69"/>
      <c r="B44" s="69"/>
      <c r="C44" s="69"/>
      <c r="D44" s="69"/>
      <c r="E44" s="69"/>
      <c r="F44" s="69"/>
      <c r="G44" s="69"/>
      <c r="H44" s="69"/>
      <c r="I44" s="69"/>
      <c r="J44" s="69"/>
      <c r="K44" s="69"/>
      <c r="L44" s="69"/>
    </row>
    <row r="45" spans="1:12" ht="40.5" customHeight="1">
      <c r="A45" s="233" t="str">
        <f>txt!B110</f>
        <v>Mitarbeiter des 'Build'-Bereichs sind zum Beispiel Applikationsentwickler, Systemingenieure, Wirtschaftsinformatiker.</v>
      </c>
      <c r="B45" s="89"/>
      <c r="C45" s="339" t="str">
        <f>txt!B169</f>
        <v>Die Preise sind ohne Mehrwertsteuer anzugeben.</v>
      </c>
      <c r="D45" s="339"/>
      <c r="E45" s="339"/>
      <c r="F45" s="339"/>
      <c r="G45" s="68"/>
      <c r="H45" s="358"/>
      <c r="I45" s="358"/>
      <c r="J45" s="358"/>
      <c r="K45" s="358"/>
      <c r="L45" s="120"/>
    </row>
    <row r="46" spans="1:12" ht="7.5" customHeight="1">
      <c r="A46" s="69"/>
      <c r="B46" s="89"/>
      <c r="C46" s="120"/>
      <c r="D46" s="120"/>
      <c r="E46" s="120"/>
      <c r="F46" s="120"/>
      <c r="G46" s="68"/>
      <c r="H46" s="120"/>
      <c r="I46" s="120"/>
      <c r="J46" s="120"/>
      <c r="K46" s="120"/>
      <c r="L46" s="120"/>
    </row>
    <row r="47" spans="1:12" ht="67.5" customHeight="1">
      <c r="A47" s="244" t="str">
        <f>txt!B145&amp;":
"&amp;txt!B146</f>
        <v>Stundenansätze:
Die ausgewiesenen Preise sollen den durchschnittlichen (über alle Kunden) effektiv verrechneten Stundenansätzen entsprechen (Rabatte sind separat auszuweisen).</v>
      </c>
      <c r="B47" s="89"/>
      <c r="C47" s="339" t="str">
        <f>txt!B155</f>
        <v xml:space="preserve">Die Zeitanteile der angegebenen Qualifikationsstufen müssen sich zu 100% addieren. Gegebenenfalls nicht genannte Qualifikationsstufen sind bei den Zeitanteilen also nicht zu berücksichtigen.  </v>
      </c>
      <c r="D47" s="339"/>
      <c r="E47" s="339"/>
      <c r="F47" s="339"/>
      <c r="G47" s="68"/>
      <c r="L47" s="120"/>
    </row>
    <row r="48" spans="1:12" ht="13.5" customHeight="1">
      <c r="A48" s="69"/>
      <c r="B48" s="89"/>
      <c r="C48" s="120"/>
      <c r="D48" s="120"/>
      <c r="E48" s="120"/>
      <c r="F48" s="120"/>
      <c r="G48" s="68"/>
      <c r="H48" s="120"/>
      <c r="I48" s="120"/>
      <c r="J48" s="120"/>
      <c r="K48" s="120"/>
      <c r="L48" s="120"/>
    </row>
    <row r="49" spans="1:12" ht="13.5" customHeight="1">
      <c r="A49" s="69" t="str">
        <f>txt!B173&amp;":"</f>
        <v>Bemerkungen:</v>
      </c>
      <c r="B49" s="89"/>
      <c r="C49" s="120"/>
      <c r="D49" s="120"/>
      <c r="E49" s="120"/>
      <c r="F49" s="120"/>
      <c r="G49" s="68"/>
      <c r="H49" s="120"/>
      <c r="I49" s="120"/>
      <c r="J49" s="120"/>
      <c r="K49" s="120"/>
      <c r="L49" s="120"/>
    </row>
    <row r="50" spans="1:12" ht="54" customHeight="1">
      <c r="A50" s="344"/>
      <c r="B50" s="345"/>
      <c r="C50" s="345"/>
      <c r="D50" s="345"/>
      <c r="E50" s="345"/>
      <c r="F50" s="345"/>
      <c r="G50" s="345"/>
      <c r="H50" s="345"/>
      <c r="I50" s="345"/>
      <c r="J50" s="345"/>
      <c r="K50" s="346"/>
      <c r="L50" s="120"/>
    </row>
    <row r="51" spans="1:12" ht="13.5" customHeight="1">
      <c r="A51" s="78"/>
      <c r="B51" s="91"/>
      <c r="C51" s="91"/>
      <c r="D51" s="56"/>
      <c r="E51" s="56"/>
    </row>
    <row r="52" spans="1:12" ht="13.5" customHeight="1">
      <c r="A52" s="78">
        <f>Steuerung!E$18</f>
        <v>0</v>
      </c>
      <c r="C52" s="268" t="str">
        <f>txt!B221</f>
        <v>ZURÜCK</v>
      </c>
      <c r="H52" s="269" t="str">
        <f>IF(AND(COUNTIF($A$17:$A$25,"")=9,COUNTIF($A$30:$A$38,"")=9),"",IF(AND(SUM($C$17:$C$25)&lt;&gt;1,SUM($C$30:$C$38)&lt;&gt;1),"",IF(AND(COUNTIF($D$17,"")=1,COUNTIF($D$30,"")=1),"",IF(AND(COUNTIF($E$17:$E$25,"")=9,COUNTIF($E$30:$E$38,"")=9),"",IF(AND(COUNTIF($F$17:$F$25,"")=9,COUNTIF($F$30:$F$38,"")=9),"",IF(AND(COUNTIF($H$17:$H$25,"")=9,COUNTIF($H$30:$H$38,"")=9),"",IF(AND(COUNTIF($I$17:$I$25,"")=9,COUNTIF($I$30:$I$38,"")=9),"",IF(A52=1,txt!$B$222,""))))))))</f>
        <v/>
      </c>
    </row>
    <row r="53" spans="1:12" ht="13.5" customHeight="1">
      <c r="A53" s="78"/>
      <c r="C53" s="62"/>
      <c r="H53" s="62"/>
    </row>
    <row r="54" spans="1:12" ht="13.5" customHeight="1">
      <c r="A54" s="78">
        <f>Steuerung!H$18</f>
        <v>0</v>
      </c>
      <c r="H54" s="269" t="str">
        <f>IF(AND(COUNTIF($A$17:$A$25,"")=9,COUNTIF($A$30:$A$38,"")=9),"",IF(AND(SUM($C$17:$C$25)&lt;&gt;1,SUM($C$30:$C$38)&lt;&gt;1),"",IF(AND(COUNTIF($D$17,"")=1,COUNTIF($D$30,"")=1),"",IF(AND(COUNTIF($E$17:$E$25,"")=9,COUNTIF($E$30:$E$38,"")=9),"",IF(AND(COUNTIF($F$17:$F$25,"")=9,COUNTIF($F$30:$F$38,"")=9),"",IF(AND(COUNTIF($H$17:$H$25,"")=9,COUNTIF($H$30:$H$38,"")=9),"",IF(AND(COUNTIF($I$17:$I$25,"")=9,COUNTIF($I$30:$I$38,"")=9),"",IF(AND(A52=0,A54=1),txt!$B$222,""))))))))</f>
        <v/>
      </c>
    </row>
    <row r="55" spans="1:12" ht="13.5" customHeight="1">
      <c r="A55" s="78"/>
      <c r="H55" s="62"/>
    </row>
    <row r="56" spans="1:12" ht="13.5" customHeight="1">
      <c r="A56" s="78">
        <f>Steuerung!J$18</f>
        <v>0</v>
      </c>
      <c r="H56" s="269" t="str">
        <f>IF(AND(COUNTIF($A$17:$A$25,"")=9,COUNTIF($A$30:$A$38,"")=9),"",IF(AND(SUM($C$17:$C$25)&lt;&gt;1,SUM($C$30:$C$38)&lt;&gt;1),"",IF(AND(COUNTIF($D$17,"")=1,COUNTIF($D$30,"")=1),"",IF(AND(COUNTIF($E$17:$E$25,"")=9,COUNTIF($E$30:$E$38,"")=9),"",IF(AND(COUNTIF($F$17:$F$25,"")=9,COUNTIF($F$30:$F$38,"")=9),"",IF(AND(COUNTIF($H$17:$H$25,"")=9,COUNTIF($H$30:$H$38,"")=9),"",IF(AND(COUNTIF($I$17:$I$25,"")=9,COUNTIF($I$30:$I$38,"")=9),"",IF(AND(A52=0,A54=0,A56=1),txt!$B$222,""))))))))</f>
        <v/>
      </c>
    </row>
    <row r="57" spans="1:12" ht="13.5" customHeight="1">
      <c r="A57" s="78"/>
      <c r="H57" s="62"/>
    </row>
    <row r="58" spans="1:12" ht="13.5" customHeight="1">
      <c r="A58" s="78">
        <f>Steuerung!L$18</f>
        <v>0</v>
      </c>
      <c r="H58" s="269" t="str">
        <f>IF(AND(COUNTIF($A$17:$A$25,"")=9,COUNTIF($A$30:$A$38,"")=9),"",IF(AND(SUM($C$17:$C$25)&lt;&gt;1,SUM($C$30:$C$38)&lt;&gt;1),"",IF(AND(COUNTIF($D$17,"")=1,COUNTIF($D$30,"")=1),"",IF(AND(COUNTIF($E$17:$E$25,"")=9,COUNTIF($E$30:$E$38,"")=9),"",IF(AND(COUNTIF($F$17:$F$25,"")=9,COUNTIF($F$30:$F$38,"")=9),"",IF(AND(COUNTIF($H$17:$H$25,"")=9,COUNTIF($H$30:$H$38,"")=9),"",IF(AND(COUNTIF($I$17:$I$25,"")=9,COUNTIF($I$30:$I$38,"")=9),"",IF(AND(A52=0,A54=0,A56=0,A58=1),txt!$B$222,""))))))))</f>
        <v/>
      </c>
    </row>
    <row r="59" spans="1:12" ht="13.5" customHeight="1">
      <c r="A59" s="78"/>
      <c r="H59" s="62"/>
    </row>
    <row r="60" spans="1:12" ht="13.5" customHeight="1">
      <c r="A60" s="78">
        <f>Steuerung!N$18</f>
        <v>1</v>
      </c>
      <c r="H60" s="269" t="str">
        <f>IF(AND(COUNTIF($A$17:$A$25,"")=9,COUNTIF($A$30:$A$38,"")=9),"",IF(AND(SUM($C$17:$C$25)&lt;&gt;1,SUM($C$30:$C$38)&lt;&gt;1),"",IF(AND(COUNTIF($D$17,"")=1,COUNTIF($D$30,"")=1),"",IF(AND(COUNTIF($E$17:$E$25,"")=9,COUNTIF($E$30:$E$38,"")=9),"",IF(AND(COUNTIF($F$17:$F$25,"")=9,COUNTIF($F$30:$F$38,"")=9),"",IF(AND(COUNTIF($H$17:$H$25,"")=9,COUNTIF($H$30:$H$38,"")=9),"",IF(AND(COUNTIF($I$17:$I$25,"")=9,COUNTIF($I$30:$I$38,"")=9),"",IF(AND(A52=0,A54=0,A56=0,A58=0,A60=1),txt!$B$222,""))))))))</f>
        <v/>
      </c>
    </row>
    <row r="61" spans="1:12" ht="13.5" customHeight="1">
      <c r="A61" s="80"/>
    </row>
    <row r="62" spans="1:12">
      <c r="A62" s="80"/>
    </row>
    <row r="63" spans="1:12">
      <c r="A63" s="80"/>
    </row>
    <row r="64" spans="1:12">
      <c r="A64" s="80"/>
    </row>
  </sheetData>
  <sheetProtection algorithmName="SHA-512" hashValue="DMnWJcFvR3KFWid69KK330oFO2L7gPwg/QOK2zvIu4jmBoIK7q66KqKKB6jE/s0C4oW4xeybtWgNOEY1fWCEiA==" saltValue="YtACQH0JbhuS4+ivjkC2xg==" spinCount="100000" sheet="1" objects="1" scenarios="1"/>
  <mergeCells count="14">
    <mergeCell ref="C1:F1"/>
    <mergeCell ref="C2:F2"/>
    <mergeCell ref="C3:F3"/>
    <mergeCell ref="A50:K50"/>
    <mergeCell ref="C47:F47"/>
    <mergeCell ref="H45:K45"/>
    <mergeCell ref="C39:D39"/>
    <mergeCell ref="C43:F43"/>
    <mergeCell ref="H43:K43"/>
    <mergeCell ref="C45:F45"/>
    <mergeCell ref="A10:I10"/>
    <mergeCell ref="A11:I11"/>
    <mergeCell ref="C26:D26"/>
    <mergeCell ref="H7:K7"/>
  </mergeCells>
  <conditionalFormatting sqref="H12:K14 H43:K47 J15:K16 J42">
    <cfRule type="expression" dxfId="78" priority="5">
      <formula>$A$51=1</formula>
    </cfRule>
  </conditionalFormatting>
  <conditionalFormatting sqref="H27:I28">
    <cfRule type="expression" dxfId="77" priority="3">
      <formula>$A$51=1</formula>
    </cfRule>
  </conditionalFormatting>
  <conditionalFormatting sqref="K17:K42">
    <cfRule type="expression" dxfId="76" priority="2">
      <formula>$A$51=1</formula>
    </cfRule>
  </conditionalFormatting>
  <dataValidations count="4">
    <dataValidation type="decimal" allowBlank="1" showInputMessage="1" showErrorMessage="1" sqref="C17:C25 C30:C38 H39:I39">
      <formula1>0</formula1>
      <formula2>1</formula2>
    </dataValidation>
    <dataValidation type="decimal" allowBlank="1" showInputMessage="1" showErrorMessage="1" sqref="I26:I29 I18 I20 I37 I31 I33 I35 I22 I24 H18 H20 H22 H24 H26:H29 H31 H33 H35 H37">
      <formula1>0</formula1>
      <formula2>0.99</formula2>
    </dataValidation>
    <dataValidation type="decimal" allowBlank="1" showInputMessage="1" showErrorMessage="1" error="Bitte geben Sie einen Wert zwischen 0% und 99% ein / Entrez une valeur entre 0% et 99%, s.v.p." sqref="I17 H38:I38 H19:I19 H21:I21 H23:I23 H25:I25 H30:I30 H32:I32 H34:I34 H36:I36 H17">
      <formula1>0</formula1>
      <formula2>0.99</formula2>
    </dataValidation>
    <dataValidation type="textLength" allowBlank="1" showInputMessage="1" showErrorMessage="1" error="Bitte verwenden Sie nicht mehr als 199 Zeichen / S.v.p. utilisez 199 caractères au maximum" sqref="A17 A19 A21 A23 A25 A30 A32 A34 A36 A38">
      <formula1>0</formula1>
      <formula2>199</formula2>
    </dataValidation>
  </dataValidations>
  <hyperlinks>
    <hyperlink ref="C52" location="'202'!A1" display="'202'!A1"/>
    <hyperlink ref="H60" location="'5'!A1" display="'5'!A1"/>
    <hyperlink ref="H58" location="'4'!A1" display="'4'!A1"/>
    <hyperlink ref="H56" location="'3'!A1" display="'3'!A1"/>
    <hyperlink ref="H54" location="'203'!A1" display="'203'!A1"/>
    <hyperlink ref="H52" location="'22hEX'!A1" display="'22hEX'!A1"/>
  </hyperlinks>
  <pageMargins left="0.74803149606299213" right="0.74803149606299213" top="0.39370078740157483" bottom="0.19685039370078741" header="0.51181102362204722" footer="0.51181102362204722"/>
  <pageSetup paperSize="9" scale="73"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B069E7A4-E8FC-0D4F-ADBB-95AE00AB1E4D}">
            <xm:f>txt!$B$222</xm:f>
            <x14:dxf>
              <font>
                <u/>
                <color rgb="FF0000FF"/>
              </font>
              <fill>
                <patternFill patternType="solid">
                  <fgColor indexed="64"/>
                  <bgColor rgb="FFFFFF00"/>
                </patternFill>
              </fill>
            </x14:dxf>
          </x14:cfRule>
          <xm:sqref>H52:H60</xm:sqref>
        </x14:conditionalFormatting>
      </x14:conditionalFormattings>
    </ex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6" tint="-0.249977111117893"/>
    <pageSetUpPr fitToPage="1"/>
  </sheetPr>
  <dimension ref="A1:P61"/>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63" t="str">
        <f>txt!B47&amp;": "&amp;txt!B50</f>
        <v>Geschäftsfeld: IT-Beratungsdienstleistungen</v>
      </c>
      <c r="B7" s="63"/>
      <c r="C7" s="63"/>
      <c r="D7" s="63"/>
      <c r="E7" s="63"/>
      <c r="F7" s="63"/>
      <c r="G7" s="63"/>
      <c r="H7" s="349" t="str">
        <f>" "&amp;REPT("|",INT(Steuerung!AF18*107))</f>
        <v xml:space="preserve"> </v>
      </c>
      <c r="I7" s="350"/>
      <c r="J7" s="350"/>
      <c r="K7" s="351"/>
      <c r="L7" s="63"/>
    </row>
    <row r="8" spans="1:16" ht="13.5" customHeight="1">
      <c r="A8" s="63" t="str">
        <f>txt!B48&amp;": "&amp;txt!B58</f>
        <v>Dienstleistungstyp: Expertise zur Systemintegration</v>
      </c>
      <c r="B8" s="63"/>
      <c r="C8" s="63"/>
      <c r="D8" s="63"/>
      <c r="E8" s="63"/>
      <c r="F8" s="63"/>
      <c r="G8" s="63"/>
      <c r="H8" s="63"/>
      <c r="I8" s="63"/>
      <c r="J8" s="63"/>
      <c r="K8" s="65" t="str">
        <f>IF(AND(COUNTIF($A$17:$A$25,"")=9,COUNTIF($A$30:$A$38,"")=9),txt!B228,IF(AND(SUM($C$17:$C$25)&lt;&gt;1,SUM($C$30:$C$38)&lt;&gt;1),txt!B227,IF(AND(COUNTIF($D$17,"")=1,COUNTIF($D$30,"")=1),txt!B235,IF(AND(COUNTIF($E$17:$E$25,"")=9,COUNTIF($E$30:$E$38,"")=9),txt!B233,IF(AND(COUNTIF($F$17:$F$25,"")=9,COUNTIF($F$30:$F$38,"")=9),txt!B234,IF(AND(COUNTIF($H$17:$H$25,"")=9,COUNTIF($H$30:$H$38,"")=9),txt!B251,IF(AND(COUNTIF($I$17:$I$25,"")=9,COUNTIF($I$30:$I$38,"")=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txt!B158</f>
        <v>Kunde im Ausland</v>
      </c>
      <c r="H13" s="57"/>
    </row>
    <row r="14" spans="1:16" ht="13.5" customHeight="1"/>
    <row r="15" spans="1:16" ht="13.5" customHeight="1">
      <c r="A15" s="69" t="str">
        <f>txt!B107&amp;"-"&amp;txt!B113</f>
        <v>Plan-Bereich</v>
      </c>
      <c r="B15" s="89"/>
      <c r="C15" s="118"/>
      <c r="D15" s="118"/>
      <c r="E15" s="118" t="str">
        <f>txt!B23</f>
        <v>März 2022</v>
      </c>
      <c r="F15" s="118" t="str">
        <f>txt!B24</f>
        <v>März 2021</v>
      </c>
      <c r="G15" s="119"/>
      <c r="H15" s="118" t="str">
        <f>E15</f>
        <v>März 2022</v>
      </c>
      <c r="I15" s="118" t="str">
        <f>F15</f>
        <v>März 2021</v>
      </c>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L16" s="120"/>
    </row>
    <row r="17" spans="1:12" ht="13.5" customHeight="1">
      <c r="A17" s="281" t="s">
        <v>662</v>
      </c>
      <c r="B17" s="89"/>
      <c r="C17" s="266"/>
      <c r="D17" s="305"/>
      <c r="E17" s="283"/>
      <c r="F17" s="283"/>
      <c r="G17" s="68"/>
      <c r="H17" s="266"/>
      <c r="I17" s="266"/>
      <c r="J17" s="68"/>
      <c r="L17" s="120"/>
    </row>
    <row r="18" spans="1:12" ht="7.5" customHeight="1">
      <c r="A18" s="60"/>
      <c r="B18" s="89"/>
      <c r="C18" s="120"/>
      <c r="D18" s="120"/>
      <c r="E18" s="122"/>
      <c r="F18" s="122"/>
      <c r="G18" s="68"/>
      <c r="H18" s="120"/>
      <c r="I18" s="120"/>
      <c r="J18" s="120"/>
      <c r="L18" s="120"/>
    </row>
    <row r="19" spans="1:12" ht="13.5" customHeight="1">
      <c r="A19" s="281" t="s">
        <v>663</v>
      </c>
      <c r="B19" s="89"/>
      <c r="C19" s="266"/>
      <c r="D19" s="121" t="str">
        <f>IF(C19="","",D17)</f>
        <v/>
      </c>
      <c r="E19" s="283"/>
      <c r="F19" s="283"/>
      <c r="G19" s="68"/>
      <c r="H19" s="266"/>
      <c r="I19" s="266"/>
      <c r="J19" s="68"/>
      <c r="L19" s="120"/>
    </row>
    <row r="20" spans="1:12" ht="7.5" customHeight="1">
      <c r="A20" s="60"/>
      <c r="B20" s="89"/>
      <c r="C20" s="120"/>
      <c r="D20" s="120"/>
      <c r="E20" s="122"/>
      <c r="F20" s="122"/>
      <c r="G20" s="68"/>
      <c r="H20" s="120"/>
      <c r="I20" s="120"/>
      <c r="J20" s="122"/>
      <c r="L20" s="120"/>
    </row>
    <row r="21" spans="1:12" ht="13.5" customHeight="1">
      <c r="A21" s="281" t="s">
        <v>664</v>
      </c>
      <c r="B21" s="89"/>
      <c r="C21" s="266"/>
      <c r="D21" s="121" t="str">
        <f>IF(C21="","",D19)</f>
        <v/>
      </c>
      <c r="E21" s="283"/>
      <c r="F21" s="283"/>
      <c r="G21" s="68"/>
      <c r="H21" s="266"/>
      <c r="I21" s="266"/>
      <c r="J21" s="68"/>
      <c r="L21" s="120"/>
    </row>
    <row r="22" spans="1:12" ht="7.5" customHeight="1">
      <c r="A22" s="60"/>
      <c r="B22" s="89"/>
      <c r="C22" s="120"/>
      <c r="D22" s="120"/>
      <c r="E22" s="122"/>
      <c r="F22" s="122"/>
      <c r="G22" s="68"/>
      <c r="H22" s="120"/>
      <c r="I22" s="120"/>
      <c r="J22" s="122"/>
      <c r="L22" s="120"/>
    </row>
    <row r="23" spans="1:12" ht="13.5" customHeight="1">
      <c r="A23" s="281"/>
      <c r="B23" s="89"/>
      <c r="C23" s="266"/>
      <c r="D23" s="121" t="str">
        <f>IF(C23="","",D21)</f>
        <v/>
      </c>
      <c r="E23" s="283"/>
      <c r="F23" s="283"/>
      <c r="G23" s="68"/>
      <c r="H23" s="266"/>
      <c r="I23" s="266"/>
      <c r="J23" s="68"/>
      <c r="L23" s="120"/>
    </row>
    <row r="24" spans="1:12" ht="7.5" customHeight="1">
      <c r="A24" s="60"/>
      <c r="B24" s="89"/>
      <c r="C24" s="120"/>
      <c r="D24" s="122"/>
      <c r="E24" s="122"/>
      <c r="F24" s="122"/>
      <c r="G24" s="68"/>
      <c r="H24" s="120"/>
      <c r="I24" s="120"/>
      <c r="J24" s="122"/>
      <c r="L24" s="120"/>
    </row>
    <row r="25" spans="1:12" ht="13.5" customHeight="1">
      <c r="A25" s="281"/>
      <c r="B25" s="89"/>
      <c r="C25" s="266"/>
      <c r="D25" s="121" t="str">
        <f>IF(C25="","",D23)</f>
        <v/>
      </c>
      <c r="E25" s="283"/>
      <c r="F25" s="283"/>
      <c r="G25" s="68"/>
      <c r="H25" s="266"/>
      <c r="I25" s="266"/>
      <c r="J25" s="68"/>
      <c r="L25" s="120"/>
    </row>
    <row r="26" spans="1:12" ht="13.5" customHeight="1">
      <c r="A26" s="69"/>
      <c r="B26" s="89"/>
      <c r="C26" s="356" t="str">
        <f>SUM(C17:C25)*100&amp;txt!$B$224</f>
        <v>0% von 100% zugeteilt</v>
      </c>
      <c r="D26" s="356"/>
      <c r="E26" s="120"/>
      <c r="F26" s="120"/>
      <c r="G26" s="68"/>
      <c r="H26" s="120"/>
      <c r="I26" s="120"/>
      <c r="J26" s="120"/>
      <c r="L26" s="120"/>
    </row>
    <row r="27" spans="1:12" ht="13.5" customHeight="1">
      <c r="A27" s="69"/>
      <c r="B27" s="89"/>
      <c r="C27" s="120"/>
      <c r="D27" s="120"/>
      <c r="E27" s="120"/>
      <c r="F27" s="120"/>
      <c r="G27" s="68"/>
      <c r="H27" s="120"/>
      <c r="I27" s="120"/>
      <c r="J27" s="120"/>
      <c r="L27" s="120"/>
    </row>
    <row r="28" spans="1:12" ht="13.5" customHeight="1">
      <c r="A28" s="69" t="str">
        <f>txt!B109&amp;"-"&amp;txt!B113</f>
        <v>Build-Bereich</v>
      </c>
      <c r="B28" s="89"/>
      <c r="C28" s="120"/>
      <c r="D28" s="120"/>
      <c r="E28" s="120"/>
      <c r="F28" s="120"/>
      <c r="G28" s="68"/>
      <c r="H28" s="120"/>
      <c r="I28" s="120"/>
      <c r="J28" s="120"/>
      <c r="L28" s="120"/>
    </row>
    <row r="29" spans="1:12" ht="13.5" customHeight="1">
      <c r="A29" s="69"/>
      <c r="B29" s="89"/>
      <c r="C29" s="120"/>
      <c r="D29" s="120"/>
      <c r="E29" s="120"/>
      <c r="F29" s="120"/>
      <c r="G29" s="68"/>
      <c r="H29" s="118"/>
      <c r="I29" s="118"/>
      <c r="J29" s="120"/>
      <c r="L29" s="120"/>
    </row>
    <row r="30" spans="1:12" ht="13.5" customHeight="1">
      <c r="A30" s="281" t="s">
        <v>662</v>
      </c>
      <c r="B30" s="89"/>
      <c r="C30" s="266"/>
      <c r="D30" s="305"/>
      <c r="E30" s="282"/>
      <c r="F30" s="282"/>
      <c r="G30" s="89"/>
      <c r="H30" s="266"/>
      <c r="I30" s="266"/>
      <c r="J30" s="68"/>
      <c r="L30" s="120"/>
    </row>
    <row r="31" spans="1:12" ht="7.5" customHeight="1">
      <c r="A31" s="60"/>
      <c r="B31" s="89"/>
      <c r="C31" s="61"/>
      <c r="D31" s="120"/>
      <c r="E31" s="123"/>
      <c r="F31" s="123"/>
      <c r="G31" s="89"/>
      <c r="H31" s="120"/>
      <c r="I31" s="120"/>
      <c r="J31" s="124"/>
      <c r="L31" s="120"/>
    </row>
    <row r="32" spans="1:12" ht="13.5" customHeight="1">
      <c r="A32" s="281" t="s">
        <v>663</v>
      </c>
      <c r="B32" s="89"/>
      <c r="C32" s="266"/>
      <c r="D32" s="121" t="str">
        <f>IF(C32="","",D30)</f>
        <v/>
      </c>
      <c r="E32" s="282"/>
      <c r="F32" s="282"/>
      <c r="G32" s="89"/>
      <c r="H32" s="266"/>
      <c r="I32" s="266"/>
      <c r="J32" s="68"/>
      <c r="L32" s="120"/>
    </row>
    <row r="33" spans="1:12" ht="7.5" customHeight="1">
      <c r="A33" s="60"/>
      <c r="B33" s="89"/>
      <c r="C33" s="61"/>
      <c r="D33" s="120"/>
      <c r="E33" s="123"/>
      <c r="F33" s="123"/>
      <c r="G33" s="89"/>
      <c r="H33" s="120"/>
      <c r="I33" s="120"/>
      <c r="J33" s="124"/>
      <c r="L33" s="120"/>
    </row>
    <row r="34" spans="1:12" ht="13.5" customHeight="1">
      <c r="A34" s="281" t="s">
        <v>664</v>
      </c>
      <c r="B34" s="89"/>
      <c r="C34" s="266"/>
      <c r="D34" s="121" t="str">
        <f>IF(C34="","",D32)</f>
        <v/>
      </c>
      <c r="E34" s="282"/>
      <c r="F34" s="282"/>
      <c r="G34" s="89"/>
      <c r="H34" s="266"/>
      <c r="I34" s="266"/>
      <c r="J34" s="68"/>
      <c r="L34" s="120"/>
    </row>
    <row r="35" spans="1:12" ht="7.5" customHeight="1">
      <c r="A35" s="60"/>
      <c r="B35" s="89"/>
      <c r="C35" s="61"/>
      <c r="D35" s="120"/>
      <c r="E35" s="123"/>
      <c r="F35" s="123"/>
      <c r="G35" s="89"/>
      <c r="H35" s="120"/>
      <c r="I35" s="120"/>
      <c r="J35" s="124"/>
      <c r="L35" s="120"/>
    </row>
    <row r="36" spans="1:12" ht="13.5" customHeight="1">
      <c r="A36" s="281"/>
      <c r="B36" s="89"/>
      <c r="C36" s="266"/>
      <c r="D36" s="121" t="str">
        <f>IF(C36="","",D34)</f>
        <v/>
      </c>
      <c r="E36" s="282"/>
      <c r="F36" s="282"/>
      <c r="G36" s="89"/>
      <c r="H36" s="266"/>
      <c r="I36" s="266"/>
      <c r="J36" s="68"/>
      <c r="L36" s="120"/>
    </row>
    <row r="37" spans="1:12" ht="7.5" customHeight="1">
      <c r="A37" s="60"/>
      <c r="B37" s="89"/>
      <c r="C37" s="61"/>
      <c r="D37" s="122"/>
      <c r="E37" s="123"/>
      <c r="F37" s="123"/>
      <c r="G37" s="89"/>
      <c r="H37" s="120"/>
      <c r="I37" s="120"/>
      <c r="J37" s="124"/>
      <c r="L37" s="120"/>
    </row>
    <row r="38" spans="1:12" ht="13.5" customHeight="1">
      <c r="A38" s="281"/>
      <c r="B38" s="89"/>
      <c r="C38" s="266"/>
      <c r="D38" s="121" t="str">
        <f>IF(C38="","",D36)</f>
        <v/>
      </c>
      <c r="E38" s="282"/>
      <c r="F38" s="282"/>
      <c r="G38" s="89"/>
      <c r="H38" s="266"/>
      <c r="I38" s="266"/>
      <c r="J38" s="68"/>
      <c r="L38" s="120"/>
    </row>
    <row r="39" spans="1:12" ht="13.5" customHeight="1">
      <c r="A39" s="69"/>
      <c r="B39" s="89"/>
      <c r="C39" s="356" t="str">
        <f>SUM(C30:C38)*100&amp;txt!$B$224</f>
        <v>0% von 100% zugeteilt</v>
      </c>
      <c r="D39" s="356"/>
      <c r="E39" s="120"/>
      <c r="F39" s="120"/>
      <c r="G39" s="68"/>
      <c r="H39" s="120"/>
      <c r="I39" s="120"/>
      <c r="J39" s="120"/>
      <c r="K39" s="120"/>
      <c r="L39" s="120"/>
    </row>
    <row r="40" spans="1:12" ht="13.5" customHeight="1">
      <c r="A40" s="69"/>
      <c r="B40" s="89"/>
      <c r="C40" s="120"/>
      <c r="D40" s="120"/>
      <c r="E40" s="120"/>
      <c r="F40" s="120"/>
      <c r="G40" s="68"/>
      <c r="H40" s="120"/>
      <c r="I40" s="120"/>
      <c r="J40" s="120"/>
      <c r="K40" s="120"/>
      <c r="L40" s="120"/>
    </row>
    <row r="41" spans="1:12" s="131" customFormat="1" ht="13.5" customHeight="1">
      <c r="A41" s="125" t="str">
        <f>txt!B138&amp;": "&amp;txt!B139</f>
        <v>Beispiel: Projektleiter</v>
      </c>
      <c r="B41" s="126"/>
      <c r="C41" s="127">
        <v>0.28000000000000003</v>
      </c>
      <c r="D41" s="128" t="s">
        <v>159</v>
      </c>
      <c r="E41" s="129">
        <v>160</v>
      </c>
      <c r="F41" s="129">
        <v>160</v>
      </c>
      <c r="G41" s="130"/>
      <c r="H41" s="209">
        <v>0.08</v>
      </c>
      <c r="I41" s="209">
        <v>0.05</v>
      </c>
      <c r="J41" s="130"/>
      <c r="K41" s="120"/>
    </row>
    <row r="42" spans="1:12" ht="7.5" customHeight="1">
      <c r="A42" s="69"/>
      <c r="B42" s="89"/>
      <c r="C42" s="120"/>
      <c r="D42" s="120"/>
      <c r="E42" s="120"/>
      <c r="F42" s="120"/>
      <c r="G42" s="68"/>
      <c r="H42" s="120"/>
      <c r="I42" s="120"/>
      <c r="J42" s="120"/>
      <c r="K42" s="120"/>
      <c r="L42" s="120"/>
    </row>
    <row r="43" spans="1:12" ht="27" customHeight="1">
      <c r="A43" s="233" t="str">
        <f>txt!B108</f>
        <v>Mitarbeiter des 'Plan'-Bereichs sind zum Beispiel  ICT-Berater, ICT-Architekten, ICT-Qualitätsmanager.</v>
      </c>
      <c r="B43" s="89"/>
      <c r="C43" s="339" t="str">
        <f>txt!B160</f>
        <v>Definition "Kunde im Ausland": Adresse des Leistungsbezügers im Ausland.</v>
      </c>
      <c r="D43" s="339"/>
      <c r="E43" s="339"/>
      <c r="F43" s="339"/>
      <c r="G43" s="68"/>
      <c r="H43" s="358"/>
      <c r="I43" s="358"/>
      <c r="J43" s="358"/>
      <c r="K43" s="358"/>
      <c r="L43" s="120"/>
    </row>
    <row r="44" spans="1:12" ht="7.5" customHeight="1">
      <c r="A44" s="69"/>
      <c r="B44" s="69"/>
      <c r="C44" s="69"/>
      <c r="D44" s="69"/>
      <c r="E44" s="69"/>
      <c r="F44" s="69"/>
      <c r="G44" s="69"/>
      <c r="H44" s="69"/>
      <c r="I44" s="69"/>
      <c r="J44" s="69"/>
      <c r="K44" s="69"/>
      <c r="L44" s="69"/>
    </row>
    <row r="45" spans="1:12" ht="40.5" customHeight="1">
      <c r="A45" s="233" t="str">
        <f>txt!B110</f>
        <v>Mitarbeiter des 'Build'-Bereichs sind zum Beispiel Applikationsentwickler, Systemingenieure, Wirtschaftsinformatiker.</v>
      </c>
      <c r="B45" s="89"/>
      <c r="C45" s="339" t="str">
        <f>txt!B169</f>
        <v>Die Preise sind ohne Mehrwertsteuer anzugeben.</v>
      </c>
      <c r="D45" s="339"/>
      <c r="E45" s="339"/>
      <c r="F45" s="339"/>
      <c r="G45" s="68"/>
      <c r="H45" s="358"/>
      <c r="I45" s="358"/>
      <c r="J45" s="358"/>
      <c r="K45" s="358"/>
      <c r="L45" s="120"/>
    </row>
    <row r="46" spans="1:12" ht="7.5" customHeight="1">
      <c r="A46" s="69"/>
      <c r="B46" s="89"/>
      <c r="C46" s="120"/>
      <c r="D46" s="120"/>
      <c r="E46" s="120"/>
      <c r="F46" s="120"/>
      <c r="G46" s="68"/>
      <c r="H46" s="120"/>
      <c r="I46" s="120"/>
      <c r="J46" s="120"/>
      <c r="K46" s="120"/>
      <c r="L46" s="120"/>
    </row>
    <row r="47" spans="1:12" ht="67.5" customHeight="1">
      <c r="A47" s="233" t="str">
        <f>txt!B145&amp;":
"&amp;txt!B146</f>
        <v>Stundenansätze:
Die ausgewiesenen Preise sollen den durchschnittlichen (über alle Kunden) effektiv verrechneten Stundenansätzen entsprechen (Rabatte sind separat auszuweisen).</v>
      </c>
      <c r="B47" s="89"/>
      <c r="C47" s="339" t="str">
        <f>txt!B155</f>
        <v xml:space="preserve">Die Zeitanteile der angegebenen Qualifikationsstufen müssen sich zu 100% addieren. Gegebenenfalls nicht genannte Qualifikationsstufen sind bei den Zeitanteilen also nicht zu berücksichtigen.  </v>
      </c>
      <c r="D47" s="339"/>
      <c r="E47" s="339"/>
      <c r="F47" s="339"/>
      <c r="G47" s="68"/>
      <c r="L47" s="120"/>
    </row>
    <row r="48" spans="1:12" ht="13.5" customHeight="1">
      <c r="A48" s="69"/>
      <c r="B48" s="89"/>
      <c r="C48" s="120"/>
      <c r="D48" s="120"/>
      <c r="E48" s="120"/>
      <c r="F48" s="120"/>
      <c r="G48" s="68"/>
      <c r="H48" s="120"/>
      <c r="I48" s="120"/>
      <c r="J48" s="120"/>
      <c r="K48" s="120"/>
      <c r="L48" s="120"/>
    </row>
    <row r="49" spans="1:12" ht="13.5" customHeight="1">
      <c r="A49" s="69" t="str">
        <f>txt!B173&amp;":"</f>
        <v>Bemerkungen:</v>
      </c>
      <c r="B49" s="89"/>
      <c r="C49" s="120"/>
      <c r="D49" s="120"/>
      <c r="E49" s="120"/>
      <c r="F49" s="120"/>
      <c r="G49" s="68"/>
      <c r="H49" s="120"/>
      <c r="I49" s="120"/>
      <c r="J49" s="120"/>
      <c r="K49" s="120"/>
      <c r="L49" s="120"/>
    </row>
    <row r="50" spans="1:12" ht="54" customHeight="1">
      <c r="A50" s="344"/>
      <c r="B50" s="345"/>
      <c r="C50" s="345"/>
      <c r="D50" s="345"/>
      <c r="E50" s="345"/>
      <c r="F50" s="345"/>
      <c r="G50" s="345"/>
      <c r="H50" s="345"/>
      <c r="I50" s="345"/>
      <c r="J50" s="345"/>
      <c r="K50" s="346"/>
      <c r="L50" s="120"/>
    </row>
    <row r="51" spans="1:12" ht="13.5" customHeight="1">
      <c r="A51" s="78">
        <f>Steuerung!E7</f>
        <v>1</v>
      </c>
      <c r="B51" s="91"/>
      <c r="C51" s="91"/>
      <c r="D51" s="56"/>
      <c r="E51" s="56"/>
    </row>
    <row r="52" spans="1:12" ht="13.5" customHeight="1">
      <c r="A52" s="78">
        <f>Steuerung!H$18</f>
        <v>0</v>
      </c>
      <c r="C52" s="268" t="str">
        <f>txt!B221</f>
        <v>ZURÜCK</v>
      </c>
      <c r="H52" s="269" t="str">
        <f>IF(AND(COUNTIF($A$17:$A$25,"")=9,COUNTIF($A$30:$A$38,"")=9),"",IF(AND(SUM($C$17:$C$25)&lt;&gt;1,SUM($C$30:$C$38)&lt;&gt;1),"",IF(AND(COUNTIF($D$17,"")=1,COUNTIF($D$30,"")=1),"",IF(AND(COUNTIF($E$17:$E$25,"")=9,COUNTIF($E$30:$E$38,"")=9),"",IF(AND(COUNTIF($F$17:$F$25,"")=9,COUNTIF($F$30:$F$38,"")=9),"",IF(AND(COUNTIF($H$17:$H$25,"")=9,COUNTIF($H$30:$H$38,"")=9),"",IF(AND(COUNTIF($I$17:$I$25,"")=9,COUNTIF($I$30:$I$38,"")=9),"",IF(A52=1,txt!$B$222,""))))))))</f>
        <v/>
      </c>
    </row>
    <row r="53" spans="1:12" ht="13.5" customHeight="1">
      <c r="A53" s="78"/>
      <c r="C53" s="62"/>
      <c r="H53" s="62"/>
    </row>
    <row r="54" spans="1:12" ht="13.5" customHeight="1">
      <c r="A54" s="78">
        <f>Steuerung!J$18</f>
        <v>0</v>
      </c>
      <c r="H54" s="269" t="str">
        <f>IF(AND(COUNTIF($A$17:$A$25,"")=9,COUNTIF($A$30:$A$38,"")=9),"",IF(AND(SUM($C$17:$C$25)&lt;&gt;1,SUM($C$30:$C$38)&lt;&gt;1),"",IF(AND(COUNTIF($D$17,"")=1,COUNTIF($D$30,"")=1),"",IF(AND(COUNTIF($E$17:$E$25,"")=9,COUNTIF($E$30:$E$38,"")=9),"",IF(AND(COUNTIF($F$17:$F$25,"")=9,COUNTIF($F$30:$F$38,"")=9),"",IF(AND(COUNTIF($H$17:$H$25,"")=9,COUNTIF($H$30:$H$38,"")=9),"",IF(AND(COUNTIF($I$17:$I$25,"")=9,COUNTIF($I$30:$I$38,"")=9),"",IF(AND(A52=0,A54=1),txt!$B$222,""))))))))</f>
        <v/>
      </c>
    </row>
    <row r="55" spans="1:12" ht="13.5" customHeight="1">
      <c r="A55" s="78"/>
      <c r="H55" s="62"/>
    </row>
    <row r="56" spans="1:12" ht="13.5" customHeight="1">
      <c r="A56" s="78">
        <f>Steuerung!L$18</f>
        <v>0</v>
      </c>
      <c r="H56" s="269" t="str">
        <f>IF(AND(COUNTIF($A$17:$A$25,"")=9,COUNTIF($A$30:$A$38,"")=9),"",IF(AND(SUM($C$17:$C$25)&lt;&gt;1,SUM($C$30:$C$38)&lt;&gt;1),"",IF(AND(COUNTIF($D$17,"")=1,COUNTIF($D$30,"")=1),"",IF(AND(COUNTIF($E$17:$E$25,"")=9,COUNTIF($E$30:$E$38,"")=9),"",IF(AND(COUNTIF($F$17:$F$25,"")=9,COUNTIF($F$30:$F$38,"")=9),"",IF(AND(COUNTIF($H$17:$H$25,"")=9,COUNTIF($H$30:$H$38,"")=9),"",IF(AND(COUNTIF($I$17:$I$25,"")=9,COUNTIF($I$30:$I$38,"")=9),"",IF(AND(A52=0,A54=0,A56=1),txt!$B$222,""))))))))</f>
        <v/>
      </c>
    </row>
    <row r="57" spans="1:12" ht="13.5" customHeight="1">
      <c r="A57" s="78"/>
      <c r="H57" s="62"/>
    </row>
    <row r="58" spans="1:12" ht="13.5" customHeight="1">
      <c r="A58" s="78">
        <f>Steuerung!N$18</f>
        <v>1</v>
      </c>
      <c r="H58" s="269" t="str">
        <f>IF(AND(COUNTIF($A$17:$A$25,"")=9,COUNTIF($A$30:$A$38,"")=9),"",IF(AND(SUM($C$17:$C$25)&lt;&gt;1,SUM($C$30:$C$38)&lt;&gt;1),"",IF(AND(COUNTIF($D$17,"")=1,COUNTIF($D$30,"")=1),"",IF(AND(COUNTIF($E$17:$E$25,"")=9,COUNTIF($E$30:$E$38,"")=9),"",IF(AND(COUNTIF($F$17:$F$25,"")=9,COUNTIF($F$30:$F$38,"")=9),"",IF(AND(COUNTIF($H$17:$H$25,"")=9,COUNTIF($H$30:$H$38,"")=9),"",IF(AND(COUNTIF($I$17:$I$25,"")=9,COUNTIF($I$30:$I$38,"")=9),"",IF(AND(A52=0,A54=0,A56=0,A58=1),txt!$B$222,""))))))))</f>
        <v/>
      </c>
    </row>
    <row r="59" spans="1:12" ht="13.5" customHeight="1">
      <c r="A59" s="78"/>
      <c r="H59" s="62"/>
    </row>
    <row r="60" spans="1:12" ht="13.5" customHeight="1">
      <c r="A60" s="78">
        <f>Steuerung!P$6</f>
        <v>1</v>
      </c>
    </row>
    <row r="61" spans="1:12" ht="13.5" customHeight="1"/>
  </sheetData>
  <sheetProtection algorithmName="SHA-512" hashValue="Yo36v8i2byDmxuanghrteRPUa73zTZOs7GDb3J64YavbTJdCTOH3Au7t7xdwyWyg/lRnzbFq7WVflZpQGTI8tw==" saltValue="AR20lEV44WjI2Sk8zj0YqQ==" spinCount="100000" sheet="1" objects="1" scenarios="1"/>
  <mergeCells count="14">
    <mergeCell ref="C47:F47"/>
    <mergeCell ref="A50:K50"/>
    <mergeCell ref="C26:D26"/>
    <mergeCell ref="C39:D39"/>
    <mergeCell ref="C43:F43"/>
    <mergeCell ref="H43:K43"/>
    <mergeCell ref="C45:F45"/>
    <mergeCell ref="H45:K45"/>
    <mergeCell ref="A11:I11"/>
    <mergeCell ref="C1:F1"/>
    <mergeCell ref="C2:F2"/>
    <mergeCell ref="C3:F3"/>
    <mergeCell ref="H7:K7"/>
    <mergeCell ref="A10:I10"/>
  </mergeCells>
  <dataValidations count="4">
    <dataValidation type="decimal" allowBlank="1" showInputMessage="1" showErrorMessage="1" sqref="C17:C25 C30:C38 H39:I39 J18">
      <formula1>0</formula1>
      <formula2>1</formula2>
    </dataValidation>
    <dataValidation type="decimal" allowBlank="1" showInputMessage="1" showErrorMessage="1" sqref="I35 I18 I20 I37 I22 I24 H18 H20 H22 H24 H26:H29 I26:I29 I31 H31 H33 I33 H35 H37">
      <formula1>0</formula1>
      <formula2>0.99</formula2>
    </dataValidation>
    <dataValidation type="decimal" allowBlank="1" showInputMessage="1" showErrorMessage="1" error="Bitte geben Sie einen Wert zwischen 0% und 99% ein / Entrez une valeur entre 0% et 99%, s.v.p." sqref="H17:I17 H19:I19 H21:I21 H23:I23 H25:I25 H30:I30 H32:I32 H34:I34 H36:I36 H38:I38">
      <formula1>0</formula1>
      <formula2>0.99</formula2>
    </dataValidation>
    <dataValidation type="textLength" allowBlank="1" showInputMessage="1" showErrorMessage="1" error="Bitte verwenden Sie nicht mehr als 199 Zeichen / S.v.p. utilisez 199 caractères au maximum" sqref="A17 A19 A21 A23 A25 A30 A32 A34 A36 A38">
      <formula1>0</formula1>
      <formula2>199</formula2>
    </dataValidation>
  </dataValidations>
  <hyperlinks>
    <hyperlink ref="C52" location="'22hCH'!A1" display="'22hCH'!A1"/>
    <hyperlink ref="H58" location="'5'!A1" display="'5'!A1"/>
    <hyperlink ref="H56" location="'4'!A1" display="'4'!A1"/>
    <hyperlink ref="H54" location="'3'!A1" display="'3'!A1"/>
    <hyperlink ref="H52" location="'203'!A1" display="'203'!A1"/>
  </hyperlinks>
  <pageMargins left="0.74803149606299213" right="0.74803149606299213" top="0.39370078740157483" bottom="0.19685039370078741" header="0.51181102362204722" footer="0.51181102362204722"/>
  <pageSetup paperSize="9" scale="73"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2" operator="equal" id="{361829C4-1D40-7341-82D3-A22FC79E3D1D}">
            <xm:f>txt!$B$222</xm:f>
            <x14:dxf>
              <font>
                <u/>
                <color rgb="FF0000FF"/>
              </font>
              <fill>
                <patternFill patternType="solid">
                  <fgColor indexed="64"/>
                  <bgColor rgb="FFFFFF00"/>
                </patternFill>
              </fill>
            </x14:dxf>
          </x14:cfRule>
          <xm:sqref>H59</xm:sqref>
        </x14:conditionalFormatting>
        <x14:conditionalFormatting xmlns:xm="http://schemas.microsoft.com/office/excel/2006/main">
          <x14:cfRule type="cellIs" priority="1" operator="equal" id="{35FA3394-72E4-D745-9CBD-CF4E41560C4A}">
            <xm:f>txt!$B$222</xm:f>
            <x14:dxf>
              <font>
                <u/>
                <color rgb="FF0000FF"/>
              </font>
              <fill>
                <patternFill patternType="solid">
                  <fgColor indexed="64"/>
                  <bgColor rgb="FFFFFF00"/>
                </patternFill>
              </fill>
            </x14:dxf>
          </x14:cfRule>
          <xm:sqref>H52:H58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Bitte wählen Sie einen Wert aus dem Drop-Down-Menu / Sélectionnez une valeur dans le menu déroulant, s.v.p.">
          <x14:formula1>
            <xm:f>txt!$B$162:$B$164</xm:f>
          </x14:formula1>
          <xm:sqref>D30</xm:sqref>
        </x14:dataValidation>
        <x14:dataValidation type="list" allowBlank="1" showInputMessage="1" showErrorMessage="1" error="Bitte wählen Sie einen Wert aus dem Drop-Down-Menu / Sélectionnez une valeur dans le menu déroulant, s.v.p.">
          <x14:formula1>
            <xm:f>txt!$B$162:$B$164</xm:f>
          </x14:formula1>
          <xm:sqref>D17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FFFF00"/>
    <pageSetUpPr fitToPage="1"/>
  </sheetPr>
  <dimension ref="A1:AW121"/>
  <sheetViews>
    <sheetView topLeftCell="A7" zoomScaleNormal="100" zoomScalePageLayoutView="90" workbookViewId="0">
      <selection activeCell="C33" sqref="C33:E33"/>
    </sheetView>
  </sheetViews>
  <sheetFormatPr baseColWidth="10" defaultColWidth="10.6640625" defaultRowHeight="12.75"/>
  <cols>
    <col min="1" max="1" width="50.6640625" style="247" customWidth="1"/>
    <col min="2" max="2" width="2.6640625" style="247" customWidth="1"/>
    <col min="3" max="3" width="12.6640625" style="247" customWidth="1"/>
    <col min="4" max="4" width="8.6640625" style="247" customWidth="1"/>
    <col min="5" max="5" width="12.6640625" style="247" customWidth="1"/>
    <col min="6" max="6" width="2.6640625" style="247" customWidth="1"/>
    <col min="7" max="7" width="32.6640625" style="247" customWidth="1"/>
    <col min="8" max="49" width="10.6640625" style="245"/>
    <col min="50" max="16384" width="10.6640625" style="247"/>
  </cols>
  <sheetData>
    <row r="1" spans="1:7" ht="15" customHeight="1">
      <c r="A1" s="245"/>
      <c r="B1" s="325" t="str">
        <f>txt!$B$42</f>
        <v>Preiserhebung</v>
      </c>
      <c r="C1" s="325"/>
      <c r="D1" s="325"/>
      <c r="E1" s="325"/>
      <c r="F1" s="325"/>
      <c r="G1" s="246" t="str">
        <f>txt!$B$175</f>
        <v>Eidg. Departement des Innern</v>
      </c>
    </row>
    <row r="2" spans="1:7" ht="15" customHeight="1">
      <c r="A2" s="245"/>
      <c r="B2" s="325" t="str">
        <f>txt!$B$43</f>
        <v>Produzentenpreisindex</v>
      </c>
      <c r="C2" s="325"/>
      <c r="D2" s="325"/>
      <c r="E2" s="325"/>
      <c r="F2" s="325"/>
      <c r="G2" s="246" t="str">
        <f>txt!$B$176</f>
        <v>Bundesamt für Statistik BFS</v>
      </c>
    </row>
    <row r="3" spans="1:7" ht="15" customHeight="1">
      <c r="A3" s="245"/>
      <c r="B3" s="326" t="str">
        <f>txt!$B$44</f>
        <v>Informatikdienstleistungen</v>
      </c>
      <c r="C3" s="326"/>
      <c r="D3" s="326"/>
      <c r="E3" s="326"/>
      <c r="F3" s="326"/>
      <c r="G3" s="248" t="str">
        <f>txt!$B$177</f>
        <v>Abt. Wirtschaft, Sektion PREIS</v>
      </c>
    </row>
    <row r="4" spans="1:7" ht="13.5" customHeight="1">
      <c r="A4" s="249"/>
      <c r="B4" s="249"/>
      <c r="C4" s="249"/>
      <c r="D4" s="249"/>
      <c r="E4" s="249"/>
      <c r="F4" s="249"/>
      <c r="G4" s="250"/>
    </row>
    <row r="5" spans="1:7" ht="13.5" customHeight="1">
      <c r="A5" s="249"/>
      <c r="B5" s="249"/>
      <c r="C5" s="249"/>
      <c r="D5" s="249"/>
      <c r="E5" s="249"/>
      <c r="F5" s="249"/>
      <c r="G5" s="250"/>
    </row>
    <row r="6" spans="1:7" ht="13.5" customHeight="1">
      <c r="A6" s="249"/>
      <c r="B6" s="249"/>
      <c r="C6" s="249"/>
      <c r="D6" s="249"/>
      <c r="E6" s="249"/>
      <c r="F6" s="249"/>
      <c r="G6" s="250"/>
    </row>
    <row r="7" spans="1:7" ht="40.5" customHeight="1">
      <c r="A7" s="328" t="str">
        <f>txt!B6</f>
        <v>Mit diesem Erhebungsinstrument erfasst das Bundesamt für Statistik Preise von IT-Dienstleistungen zwecks Messung der Entwicklung der Produzentenpreise. Das BFS erstellt mit den erhobenen Daten Preisindizes für IT-Dienstleistungen. Bitte lesen Sie die nachfolgenden Erläuterungen aufmerksam durch. So wird Ihnen das Ausfüllen des Erhebungsbogen deutlich erleichtert.</v>
      </c>
      <c r="B7" s="328"/>
      <c r="C7" s="328"/>
      <c r="D7" s="328"/>
      <c r="E7" s="328"/>
      <c r="F7" s="328"/>
      <c r="G7" s="328"/>
    </row>
    <row r="8" spans="1:7" ht="13.5" customHeight="1">
      <c r="A8" s="329"/>
      <c r="B8" s="329"/>
      <c r="C8" s="329"/>
      <c r="D8" s="329"/>
      <c r="E8" s="329"/>
      <c r="F8" s="329"/>
      <c r="G8" s="329"/>
    </row>
    <row r="9" spans="1:7" ht="40.5" customHeight="1">
      <c r="A9" s="330" t="str">
        <f>txt!B7</f>
        <v>Sie werden durch dieses Excel-File geführt, indem nur die für Sie relevanten Excel-Blätter aufgerufen werden. Bitte tätigen Sie Ihre Angaben in den graugrün hinterlegten Feldern. Die blauen Felder dienen als Hilfestellung, hier werden Erläuterungen und Beispiele zum Ausfüllen gegeben. Hinweise zu noch fehlenden Angaben erscheinen oben rechts im Erhebungsbogen in roter Schrift direkt unter dem Kästchen, das den Erfassungsfortschritt anzeigt.</v>
      </c>
      <c r="B9" s="330"/>
      <c r="C9" s="330"/>
      <c r="D9" s="330"/>
      <c r="E9" s="330"/>
      <c r="F9" s="330"/>
      <c r="G9" s="330"/>
    </row>
    <row r="10" spans="1:7" ht="67.5" customHeight="1">
      <c r="A10" s="330" t="str">
        <f>txt!B8</f>
        <v>Sobald auf einem Excel-Blatt die minimal notwendigen Angaben vorliegen, erscheint am unteren Rand ein gelb hinterlegtes Feld "WEITER". Sie können noch weitere Angaben tätigen oder auf dieses Feld klicken, um diese Seite abzuschliessen und zum nächsten relevanten Excel-Blatt zu gelangen. Bitte nutzen Sie zum Abschliessen eines Bogens immer dieses "WEITER"-Feld. Achten Sie dabei auch darauf, dass Sie genau dieses Feld anklicken. Durch dieses Vorgehen wird Ihr Erhebungsaufwand auf ein Minimum reduziert, weil Sie automatisch auf die für Ihre Unternehmung wichtigen Excel-Blätter geleitet werden. Über das Feld "ZURÜCK" können Sie nach Bedarf zur vorgelagerten Seite zurückkehren, um bisherige Eingaben zu kontrollieren bzw. zu korrigieren. Hinweis: mit der Tastenkombination Ctrl-PageDown können Sie nötigenfalls manuell zum nächsten Blatt wechseln (ab Excel 2007).</v>
      </c>
      <c r="B10" s="330"/>
      <c r="C10" s="330"/>
      <c r="D10" s="330"/>
      <c r="E10" s="330"/>
      <c r="F10" s="330"/>
      <c r="G10" s="330"/>
    </row>
    <row r="11" spans="1:7" ht="26.25" customHeight="1">
      <c r="A11" s="330" t="str">
        <f>txt!B9</f>
        <v>Am Ende der Umfrage werden Sie aufgefordert die Datei zu speichern und es wird Ihnen nochmals die Kontaktadresse angezeigt, an die Sie die ausgefüllte Excel-Datei schicken müssen. Bitte melden Sie sich zuvor per E-Mail, falls Sie eine gesicherte Übertragung des Dokuments wünschen.</v>
      </c>
      <c r="B11" s="330"/>
      <c r="C11" s="330"/>
      <c r="D11" s="330"/>
      <c r="E11" s="330"/>
      <c r="F11" s="330"/>
      <c r="G11" s="330"/>
    </row>
    <row r="12" spans="1:7" ht="13.5" customHeight="1">
      <c r="A12" s="330"/>
      <c r="B12" s="330"/>
      <c r="C12" s="330"/>
      <c r="D12" s="330"/>
      <c r="E12" s="330"/>
      <c r="F12" s="330"/>
      <c r="G12" s="330"/>
    </row>
    <row r="13" spans="1:7" ht="13.5" customHeight="1">
      <c r="A13" s="331" t="str">
        <f>txt!B10</f>
        <v>Bitte achten Sie stets darauf, dass alle abgefragten Preise ohne Mehrwertsteuer gemeldet werden.</v>
      </c>
      <c r="B13" s="331"/>
      <c r="C13" s="331"/>
      <c r="D13" s="331"/>
      <c r="E13" s="331"/>
      <c r="F13" s="331"/>
      <c r="G13" s="331"/>
    </row>
    <row r="14" spans="1:7" ht="13.5" customHeight="1">
      <c r="A14" s="330"/>
      <c r="B14" s="330"/>
      <c r="C14" s="330"/>
      <c r="D14" s="330"/>
      <c r="E14" s="330"/>
      <c r="F14" s="330"/>
      <c r="G14" s="330"/>
    </row>
    <row r="15" spans="1:7" ht="13.5" customHeight="1">
      <c r="A15" s="332" t="str">
        <f>txt!B11</f>
        <v>Für Fragen, Anmerkungen und Auskünfte inhaltlicher Art steht Ihnen gerne zur Verfügung:</v>
      </c>
      <c r="B15" s="332"/>
      <c r="C15" s="332"/>
      <c r="D15" s="332"/>
      <c r="E15" s="332"/>
      <c r="F15" s="332"/>
      <c r="G15" s="332"/>
    </row>
    <row r="16" spans="1:7" ht="13.5" customHeight="1">
      <c r="A16" s="333" t="str">
        <f>txt!B12</f>
        <v>Mirko Huber, Bundesamt für Statistik BFS, Neuenburg</v>
      </c>
      <c r="B16" s="333"/>
      <c r="C16" s="333"/>
      <c r="D16" s="333"/>
      <c r="E16" s="333"/>
      <c r="F16" s="333"/>
      <c r="G16" s="333"/>
    </row>
    <row r="17" spans="1:7" ht="13.5" customHeight="1">
      <c r="A17" s="332" t="str">
        <f>txt!B13</f>
        <v>E-Mail:    mirko.huber@bfs.admin.ch</v>
      </c>
      <c r="B17" s="332"/>
      <c r="C17" s="332"/>
      <c r="D17" s="332"/>
      <c r="E17" s="332"/>
      <c r="F17" s="332"/>
      <c r="G17" s="332"/>
    </row>
    <row r="18" spans="1:7" ht="13.5" customHeight="1">
      <c r="A18" s="321" t="str">
        <f>txt!B14</f>
        <v>Telefon:  +41 58 463 67 95</v>
      </c>
      <c r="B18" s="321"/>
      <c r="C18" s="321"/>
      <c r="D18" s="321"/>
      <c r="E18" s="321"/>
      <c r="F18" s="321"/>
      <c r="G18" s="321"/>
    </row>
    <row r="19" spans="1:7" ht="13.5" customHeight="1">
      <c r="A19" s="321"/>
      <c r="B19" s="321"/>
      <c r="C19" s="321"/>
      <c r="D19" s="321"/>
      <c r="E19" s="321"/>
      <c r="F19" s="321"/>
      <c r="G19" s="321"/>
    </row>
    <row r="20" spans="1:7" ht="13.5" customHeight="1">
      <c r="A20" s="321" t="str">
        <f>txt!B15</f>
        <v>Administrative und organisatorische Auskünfte erteilt:</v>
      </c>
      <c r="B20" s="321"/>
      <c r="C20" s="321"/>
      <c r="D20" s="321"/>
      <c r="E20" s="321"/>
      <c r="F20" s="321"/>
      <c r="G20" s="321"/>
    </row>
    <row r="21" spans="1:7" ht="13.5" customHeight="1">
      <c r="A21" s="320" t="str">
        <f>txt!B16</f>
        <v>Alexia Messerli, Bundesamt für Statistik BFS, Neuenburg</v>
      </c>
      <c r="B21" s="320"/>
      <c r="C21" s="320"/>
      <c r="D21" s="320"/>
      <c r="E21" s="320"/>
      <c r="F21" s="320"/>
      <c r="G21" s="320"/>
    </row>
    <row r="22" spans="1:7" ht="13.5" customHeight="1">
      <c r="A22" s="321" t="str">
        <f>txt!B17</f>
        <v>E-Mail:    ppiprod@bfs.admin.ch</v>
      </c>
      <c r="B22" s="321"/>
      <c r="C22" s="321"/>
      <c r="D22" s="321"/>
      <c r="E22" s="321"/>
      <c r="F22" s="321"/>
      <c r="G22" s="321"/>
    </row>
    <row r="23" spans="1:7" ht="13.5" customHeight="1">
      <c r="A23" s="321" t="str">
        <f>txt!B18</f>
        <v>Telefon:  +41 58 467 89 84</v>
      </c>
      <c r="B23" s="321"/>
      <c r="C23" s="321"/>
      <c r="D23" s="321"/>
      <c r="E23" s="321"/>
      <c r="F23" s="321"/>
      <c r="G23" s="321"/>
    </row>
    <row r="24" spans="1:7" ht="13.5" customHeight="1">
      <c r="A24" s="321"/>
      <c r="B24" s="321"/>
      <c r="C24" s="321"/>
      <c r="D24" s="321"/>
      <c r="E24" s="321"/>
      <c r="F24" s="321"/>
      <c r="G24" s="321"/>
    </row>
    <row r="25" spans="1:7" ht="13.5" customHeight="1">
      <c r="A25" s="321"/>
      <c r="B25" s="321"/>
      <c r="C25" s="321"/>
      <c r="D25" s="321"/>
      <c r="E25" s="321"/>
      <c r="F25" s="321"/>
      <c r="G25" s="321"/>
    </row>
    <row r="26" spans="1:7" ht="13.5" customHeight="1">
      <c r="A26" s="322" t="str">
        <f>txt!B19</f>
        <v>Bitte senden Sie dieses Dokument bis spätestens am 13. Mai 2022 an:</v>
      </c>
      <c r="B26" s="322"/>
      <c r="C26" s="322"/>
      <c r="D26" s="322"/>
      <c r="E26" s="322"/>
      <c r="F26" s="322"/>
      <c r="G26" s="322"/>
    </row>
    <row r="27" spans="1:7" ht="13.5" customHeight="1">
      <c r="A27" s="323" t="str">
        <f>txt!B16</f>
        <v>Alexia Messerli, Bundesamt für Statistik BFS, Neuenburg</v>
      </c>
      <c r="B27" s="323"/>
      <c r="C27" s="323"/>
      <c r="D27" s="323"/>
      <c r="E27" s="323"/>
      <c r="F27" s="323"/>
      <c r="G27" s="323"/>
    </row>
    <row r="28" spans="1:7" ht="13.5" customHeight="1">
      <c r="A28" s="319" t="str">
        <f>txt!B17</f>
        <v>E-Mail:    ppiprod@bfs.admin.ch</v>
      </c>
      <c r="B28" s="319"/>
      <c r="C28" s="319"/>
      <c r="D28" s="319"/>
      <c r="E28" s="319"/>
      <c r="F28" s="319"/>
      <c r="G28" s="319"/>
    </row>
    <row r="29" spans="1:7" ht="13.5" customHeight="1">
      <c r="A29" s="270"/>
      <c r="B29" s="270"/>
      <c r="C29" s="270"/>
      <c r="D29" s="270"/>
      <c r="E29" s="270"/>
      <c r="F29" s="270"/>
      <c r="G29" s="270"/>
    </row>
    <row r="30" spans="1:7" ht="27" customHeight="1">
      <c r="A30" s="327" t="str">
        <f>txt!B20</f>
        <v xml:space="preserve">Falls Rückfragen unsererseits bestehen werden wir Sie in den nächsten Wochen nochmals kontaktieren. Die nächste Preiserhebung findet dann in einem Jahr statt. In der Preiserhebung im nächsten Jahr werden die von Ihnen gemachten Angaben aus diesem Jahr sichtbar sein. </v>
      </c>
      <c r="B30" s="327"/>
      <c r="C30" s="327"/>
      <c r="D30" s="327"/>
      <c r="E30" s="327"/>
      <c r="F30" s="327"/>
      <c r="G30" s="327"/>
    </row>
    <row r="31" spans="1:7" ht="13.5" customHeight="1">
      <c r="A31" s="320" t="str">
        <f>txt!B21</f>
        <v>Wir danken Ihnen herzlich für Ihre wertvolle Mitarbeit!</v>
      </c>
      <c r="B31" s="320"/>
      <c r="C31" s="320"/>
      <c r="D31" s="320"/>
      <c r="E31" s="320"/>
      <c r="F31" s="320"/>
      <c r="G31" s="320"/>
    </row>
    <row r="32" spans="1:7" ht="13.5" customHeight="1">
      <c r="A32" s="251"/>
      <c r="B32" s="252"/>
      <c r="C32" s="252"/>
      <c r="D32" s="252"/>
      <c r="E32" s="252"/>
      <c r="F32" s="252"/>
      <c r="G32" s="245"/>
    </row>
    <row r="33" spans="1:7" ht="13.5" customHeight="1">
      <c r="A33" s="251"/>
      <c r="B33" s="252"/>
      <c r="C33" s="324" t="str">
        <f>txt!B223</f>
        <v>START DER PREISERHEBUNG</v>
      </c>
      <c r="D33" s="324"/>
      <c r="E33" s="324"/>
      <c r="F33" s="252"/>
      <c r="G33" s="245"/>
    </row>
    <row r="34" spans="1:7" s="245" customFormat="1" ht="13.5" customHeight="1">
      <c r="A34" s="253"/>
    </row>
    <row r="35" spans="1:7" s="245" customFormat="1" ht="50.1" customHeight="1">
      <c r="A35" s="253"/>
      <c r="G35" s="318" t="str">
        <f>txt!B267</f>
        <v>Falls das Formular an dieser Stelle blockiert ist (möglich z.B. bei Excel 2007), können Sie mit der Tastenkombination Ctrl+PageDown zum nächsten Tabellenblatt wechseln.</v>
      </c>
    </row>
    <row r="36" spans="1:7" s="245" customFormat="1" ht="13.5" customHeight="1">
      <c r="A36" s="253"/>
    </row>
    <row r="37" spans="1:7" s="245" customFormat="1" ht="13.5" customHeight="1">
      <c r="A37" s="253"/>
    </row>
    <row r="38" spans="1:7" s="245" customFormat="1">
      <c r="A38" s="253"/>
    </row>
    <row r="39" spans="1:7" s="245" customFormat="1">
      <c r="A39" s="253"/>
    </row>
    <row r="40" spans="1:7" s="245" customFormat="1"/>
    <row r="41" spans="1:7" s="245" customFormat="1"/>
    <row r="42" spans="1:7" s="245" customFormat="1"/>
    <row r="43" spans="1:7" s="245" customFormat="1"/>
    <row r="44" spans="1:7" s="245" customFormat="1"/>
    <row r="45" spans="1:7" s="245" customFormat="1"/>
    <row r="46" spans="1:7" s="245" customFormat="1"/>
    <row r="47" spans="1:7" s="245" customFormat="1"/>
    <row r="48" spans="1:7" s="245" customFormat="1"/>
    <row r="49" s="245" customFormat="1"/>
    <row r="50" s="245" customFormat="1"/>
    <row r="51" s="245" customFormat="1"/>
    <row r="52" s="245" customFormat="1"/>
    <row r="53" s="245" customFormat="1"/>
    <row r="54" s="245" customFormat="1"/>
    <row r="55" s="245" customFormat="1"/>
    <row r="56" s="245" customFormat="1"/>
    <row r="57" s="245" customFormat="1"/>
    <row r="58" s="245" customFormat="1"/>
    <row r="59" s="245" customFormat="1"/>
    <row r="60" s="245" customFormat="1"/>
    <row r="61" s="245" customFormat="1"/>
    <row r="62" s="245" customFormat="1"/>
    <row r="63" s="245" customFormat="1"/>
    <row r="64" s="245" customFormat="1"/>
    <row r="65" s="245" customFormat="1"/>
    <row r="66" s="245" customFormat="1"/>
    <row r="67" s="245" customFormat="1"/>
    <row r="68" s="245" customFormat="1"/>
    <row r="69" s="245" customFormat="1"/>
    <row r="70" s="245" customFormat="1"/>
    <row r="71" s="245" customFormat="1"/>
    <row r="72" s="245" customFormat="1"/>
    <row r="73" s="245" customFormat="1"/>
    <row r="74" s="245" customFormat="1"/>
    <row r="75" s="245" customFormat="1"/>
    <row r="76" s="245" customFormat="1"/>
    <row r="77" s="245" customFormat="1"/>
    <row r="78" s="245" customFormat="1"/>
    <row r="79" s="245" customFormat="1"/>
    <row r="80" s="245" customFormat="1"/>
    <row r="81" s="245" customFormat="1"/>
    <row r="82" s="245" customFormat="1"/>
    <row r="83" s="245" customFormat="1"/>
    <row r="84" s="245" customFormat="1"/>
    <row r="85" s="245" customFormat="1"/>
    <row r="86" s="245" customFormat="1"/>
    <row r="87" s="245" customFormat="1"/>
    <row r="88" s="245" customFormat="1"/>
    <row r="89" s="245" customFormat="1"/>
    <row r="90" s="245" customFormat="1"/>
    <row r="91" s="245" customFormat="1"/>
    <row r="92" s="245" customFormat="1"/>
    <row r="93" s="245" customFormat="1"/>
    <row r="94" s="245" customFormat="1"/>
    <row r="95" s="245" customFormat="1"/>
    <row r="96" s="245" customFormat="1"/>
    <row r="97" s="245" customFormat="1"/>
    <row r="98" s="245" customFormat="1"/>
    <row r="99" s="245" customFormat="1"/>
    <row r="100" s="245" customFormat="1"/>
    <row r="101" s="245" customFormat="1"/>
    <row r="102" s="245" customFormat="1"/>
    <row r="103" s="245" customFormat="1"/>
    <row r="104" s="245" customFormat="1"/>
    <row r="105" s="245" customFormat="1"/>
    <row r="106" s="245" customFormat="1"/>
    <row r="107" s="245" customFormat="1"/>
    <row r="108" s="245" customFormat="1"/>
    <row r="109" s="245" customFormat="1"/>
    <row r="110" s="245" customFormat="1"/>
    <row r="111" s="245" customFormat="1"/>
    <row r="112" s="245" customFormat="1"/>
    <row r="113" s="245" customFormat="1"/>
    <row r="114" s="245" customFormat="1"/>
    <row r="115" s="245" customFormat="1"/>
    <row r="116" s="245" customFormat="1"/>
    <row r="117" s="245" customFormat="1"/>
    <row r="118" s="245" customFormat="1"/>
    <row r="119" s="245" customFormat="1"/>
    <row r="120" s="245" customFormat="1"/>
    <row r="121" s="245" customFormat="1"/>
  </sheetData>
  <sheetProtection algorithmName="SHA-512" hashValue="q+6bot/IstbuDzgC4XXubZhZdISm4vlHkKdcV1Z8sXcwEc+5OCgalBe3+G/nXZMq1HQTvsqGAMSV2hwXJCvdxw==" saltValue="rXY0h270ay8U8mgysVlLYQ==" spinCount="100000" sheet="1" objects="1" scenarios="1"/>
  <mergeCells count="28">
    <mergeCell ref="C33:E33"/>
    <mergeCell ref="B1:F1"/>
    <mergeCell ref="B2:F2"/>
    <mergeCell ref="B3:F3"/>
    <mergeCell ref="A30:G30"/>
    <mergeCell ref="A7:G7"/>
    <mergeCell ref="A8:G8"/>
    <mergeCell ref="A9:G9"/>
    <mergeCell ref="A12:G12"/>
    <mergeCell ref="A10:G10"/>
    <mergeCell ref="A13:G13"/>
    <mergeCell ref="A11:G11"/>
    <mergeCell ref="A15:G15"/>
    <mergeCell ref="A14:G14"/>
    <mergeCell ref="A16:G16"/>
    <mergeCell ref="A17:G17"/>
    <mergeCell ref="A18:G18"/>
    <mergeCell ref="A19:G19"/>
    <mergeCell ref="A20:G20"/>
    <mergeCell ref="A21:G21"/>
    <mergeCell ref="A27:G27"/>
    <mergeCell ref="A28:G28"/>
    <mergeCell ref="A31:G31"/>
    <mergeCell ref="A23:G23"/>
    <mergeCell ref="A22:G22"/>
    <mergeCell ref="A24:G24"/>
    <mergeCell ref="A25:G25"/>
    <mergeCell ref="A26:G26"/>
  </mergeCells>
  <hyperlinks>
    <hyperlink ref="C33" location="'Intro 2'!A1" display="'Intro 2'!A1"/>
    <hyperlink ref="A17" r:id="rId1" display="nils.braun@econlab.ch"/>
    <hyperlink ref="C33:E33" location="'Intro 2'!Zone_d_impression" display="'Intro 2'!Zone_d_impression"/>
    <hyperlink ref="D33" location="'Intro 2'!A1" display="'Intro 2'!A1"/>
    <hyperlink ref="E33" location="'Intro 2'!A1" display="'Intro 2'!A1"/>
  </hyperlinks>
  <pageMargins left="0.74803149606299213" right="0.74803149606299213" top="0.39370078740157483" bottom="0.19685039370078741" header="0.51181102362204722" footer="0.51181102362204722"/>
  <pageSetup paperSize="9" scale="88" orientation="landscape" horizontalDpi="4294967292" verticalDpi="4294967292"/>
  <colBreaks count="1" manualBreakCount="1">
    <brk id="7" max="1048575" man="1"/>
  </colBreaks>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6" tint="0.59999389629810485"/>
    <pageSetUpPr fitToPage="1"/>
  </sheetPr>
  <dimension ref="A1:J37"/>
  <sheetViews>
    <sheetView workbookViewId="0">
      <selection activeCell="C12" sqref="C12"/>
    </sheetView>
  </sheetViews>
  <sheetFormatPr baseColWidth="10" defaultColWidth="10.6640625" defaultRowHeight="12.75"/>
  <cols>
    <col min="1" max="1" width="50.6640625" style="50" customWidth="1"/>
    <col min="2" max="2" width="2.6640625" style="50" customWidth="1"/>
    <col min="3" max="3" width="32.6640625" style="50" customWidth="1"/>
    <col min="4" max="4" width="2.6640625" style="50" customWidth="1"/>
    <col min="5" max="5" width="32.6640625" style="50" customWidth="1"/>
    <col min="6" max="16384" width="10.6640625" style="50"/>
  </cols>
  <sheetData>
    <row r="1" spans="1:10" ht="15" customHeight="1">
      <c r="B1" s="366" t="str">
        <f>txt!B42</f>
        <v>Preiserhebung</v>
      </c>
      <c r="C1" s="366"/>
      <c r="D1" s="366"/>
      <c r="E1" s="51" t="str">
        <f>txt!B175</f>
        <v>Eidg. Departement des Innern</v>
      </c>
    </row>
    <row r="2" spans="1:10" ht="15" customHeight="1">
      <c r="B2" s="366" t="str">
        <f>txt!B43</f>
        <v>Produzentenpreisindex</v>
      </c>
      <c r="C2" s="366"/>
      <c r="D2" s="366"/>
      <c r="E2" s="51" t="str">
        <f>txt!B176</f>
        <v>Bundesamt für Statistik BFS</v>
      </c>
    </row>
    <row r="3" spans="1:10" ht="15" customHeight="1">
      <c r="B3" s="366" t="str">
        <f>txt!B44</f>
        <v>Informatikdienstleistungen</v>
      </c>
      <c r="C3" s="366"/>
      <c r="D3" s="366"/>
      <c r="E3" s="51" t="str">
        <f>txt!B177</f>
        <v>Abt. Wirtschaft, Sektion PREIS</v>
      </c>
    </row>
    <row r="4" spans="1:10" ht="13.5" customHeight="1">
      <c r="A4" s="63"/>
      <c r="B4" s="63"/>
      <c r="C4" s="63"/>
      <c r="D4" s="63"/>
      <c r="E4" s="63"/>
      <c r="F4" s="63"/>
      <c r="G4" s="63"/>
      <c r="H4" s="63"/>
      <c r="I4" s="63"/>
      <c r="J4" s="63"/>
    </row>
    <row r="5" spans="1:10" ht="13.5" customHeight="1">
      <c r="A5" s="63" t="str">
        <f>txt!B46</f>
        <v>PMS-Nr. 0</v>
      </c>
      <c r="B5" s="63"/>
      <c r="C5" s="63"/>
      <c r="D5" s="63"/>
      <c r="E5" s="51" t="str">
        <f>txt!B45</f>
        <v/>
      </c>
      <c r="F5" s="63"/>
      <c r="G5" s="63"/>
      <c r="H5" s="63"/>
      <c r="J5" s="63"/>
    </row>
    <row r="6" spans="1:10" ht="13.5" customHeight="1">
      <c r="A6" s="63"/>
      <c r="B6" s="63"/>
      <c r="C6" s="63"/>
      <c r="D6" s="63"/>
      <c r="E6" s="63"/>
      <c r="F6" s="63"/>
      <c r="G6" s="63"/>
      <c r="H6" s="63"/>
      <c r="I6" s="63"/>
      <c r="J6" s="63"/>
    </row>
    <row r="7" spans="1:10" ht="13.5" customHeight="1">
      <c r="A7" s="63" t="str">
        <f>txt!B47&amp;": "&amp;txt!B50</f>
        <v>Geschäftsfeld: IT-Beratungsdienstleistungen</v>
      </c>
      <c r="B7" s="63"/>
      <c r="C7" s="63"/>
      <c r="D7" s="63"/>
      <c r="E7" s="83" t="str">
        <f>" "&amp;REPT("|",INT(Steuerung!V21*100))</f>
        <v xml:space="preserve"> </v>
      </c>
      <c r="F7" s="63"/>
      <c r="G7" s="63"/>
      <c r="H7" s="63"/>
      <c r="I7" s="63"/>
      <c r="J7" s="63"/>
    </row>
    <row r="8" spans="1:10" ht="13.5" customHeight="1">
      <c r="A8" s="63" t="str">
        <f>txt!B48&amp;": "&amp;txt!B59</f>
        <v>Dienstleistungstyp: Schulung &amp; Training</v>
      </c>
      <c r="B8" s="63"/>
      <c r="C8" s="63"/>
      <c r="D8" s="63"/>
      <c r="E8" s="65" t="str">
        <f>IF(COUNTIF($C$12:$C$16,"")=5,txt!B231,IF(A27=1,"",""))</f>
        <v>Bitte wählen Sie eine häufig angewendete Preisfestsetzungsmethode</v>
      </c>
      <c r="F8" s="63"/>
      <c r="G8" s="63"/>
      <c r="H8" s="63"/>
      <c r="I8" s="63"/>
      <c r="J8" s="63"/>
    </row>
    <row r="9" spans="1:10" ht="13.5" customHeight="1">
      <c r="A9" s="53"/>
      <c r="B9" s="159"/>
      <c r="C9" s="159"/>
      <c r="D9" s="159"/>
      <c r="E9" s="98"/>
    </row>
    <row r="10" spans="1:10" s="57" customFormat="1" ht="13.5" customHeight="1">
      <c r="A10" s="58" t="str">
        <f>txt!B85</f>
        <v>Wie offerieren Sie normalerweise Ihre Dienstleistungen?</v>
      </c>
      <c r="E10" s="91"/>
    </row>
    <row r="11" spans="1:10" ht="27" customHeight="1">
      <c r="A11" s="60"/>
      <c r="B11" s="60"/>
      <c r="C11" s="59" t="str">
        <f>txt!B86</f>
        <v xml:space="preserve">Häufig angewendete Preisfestsetzungsmethode mit einem "X" kennzeichnen </v>
      </c>
      <c r="F11" s="156"/>
    </row>
    <row r="12" spans="1:10" ht="13.5" customHeight="1">
      <c r="A12" s="60" t="str">
        <f>txt!B90</f>
        <v>Kursgebühr</v>
      </c>
      <c r="B12" s="99"/>
      <c r="C12" s="134"/>
    </row>
    <row r="13" spans="1:10" ht="7.5" customHeight="1">
      <c r="A13" s="60"/>
      <c r="B13" s="99"/>
      <c r="C13" s="101"/>
      <c r="E13" s="156"/>
    </row>
    <row r="14" spans="1:10" ht="13.5" customHeight="1">
      <c r="A14" s="60" t="str">
        <f>txt!B88</f>
        <v>Zeithonorare</v>
      </c>
      <c r="B14" s="99"/>
      <c r="C14" s="134"/>
      <c r="E14" s="156"/>
    </row>
    <row r="15" spans="1:10" ht="7.5" customHeight="1">
      <c r="A15" s="60"/>
      <c r="B15" s="99"/>
      <c r="C15" s="101"/>
      <c r="E15" s="156"/>
    </row>
    <row r="16" spans="1:10" ht="13.5" customHeight="1">
      <c r="A16" s="158" t="str">
        <f>txt!B95</f>
        <v>Andere Form der Preisfestsetzung</v>
      </c>
      <c r="B16" s="150"/>
      <c r="C16" s="134"/>
      <c r="E16" s="156"/>
    </row>
    <row r="17" spans="1:5" ht="13.5" customHeight="1">
      <c r="A17" s="55"/>
      <c r="B17" s="55"/>
      <c r="C17" s="80" t="str">
        <f>IF($C16="","",IF(A19="",txt!B84,""))</f>
        <v/>
      </c>
    </row>
    <row r="18" spans="1:5" ht="13.5" customHeight="1">
      <c r="A18" s="166" t="str">
        <f>txt!B105</f>
        <v>Kurzbeschrieb der anderen Form der Preisfestsetzung</v>
      </c>
      <c r="B18" s="55"/>
      <c r="C18" s="55"/>
      <c r="E18" s="156"/>
    </row>
    <row r="19" spans="1:5" ht="54" customHeight="1">
      <c r="A19" s="341"/>
      <c r="B19" s="342"/>
      <c r="C19" s="343"/>
    </row>
    <row r="20" spans="1:5" ht="13.5" customHeight="1"/>
    <row r="21" spans="1:5" ht="13.5" customHeight="1">
      <c r="A21" s="72" t="str">
        <f>txt!B218&amp;":"</f>
        <v>Definitionen:</v>
      </c>
    </row>
    <row r="22" spans="1:5" ht="7.5" customHeight="1"/>
    <row r="23" spans="1:5" ht="27" customHeight="1">
      <c r="A23" s="154" t="str">
        <f>txt!B100</f>
        <v xml:space="preserve">Kursgebühr: Schulung und Training werden zu festen Gebühren pro Stunde und Kursteilnehmer verrechnet. </v>
      </c>
    </row>
    <row r="24" spans="1:5" ht="7.5" customHeight="1"/>
    <row r="25" spans="1:5" ht="54" customHeight="1">
      <c r="A25" s="154" t="str">
        <f>txt!B97</f>
        <v xml:space="preserve">Zeithonorare: Der Preis der Software richtet sich nach der tatsächlich geleisteten Arbeitszeit. Die Zeithonorare können sich in Abhängigkeit von Qualifikationsniveau, Funktion und/oder Seniorität der Programmierer unterscheiden. </v>
      </c>
    </row>
    <row r="26" spans="1:5" ht="13.5" customHeight="1"/>
    <row r="27" spans="1:5" ht="13.5" customHeight="1">
      <c r="A27" s="78">
        <f>Steuerung!C22</f>
        <v>0</v>
      </c>
      <c r="C27" s="268" t="str">
        <f>txt!$B$221</f>
        <v>ZURÜCK</v>
      </c>
      <c r="E27" s="269" t="str">
        <f>IF(COUNTIF($C$12:$C$16,"")=5,"",IF(A27=1,txt!B222,""))</f>
        <v/>
      </c>
    </row>
    <row r="28" spans="1:5">
      <c r="A28" s="78"/>
      <c r="C28" s="62"/>
      <c r="E28" s="62"/>
    </row>
    <row r="29" spans="1:5">
      <c r="A29" s="78">
        <f>Steuerung!C24</f>
        <v>1</v>
      </c>
      <c r="E29" s="269" t="str">
        <f>IF(COUNTIF($C$12:$C$16,"")=5,"",IF(AND(A27=0,A29=1),txt!B222,""))</f>
        <v/>
      </c>
    </row>
    <row r="30" spans="1:5">
      <c r="C30" s="106"/>
      <c r="E30" s="62"/>
    </row>
    <row r="31" spans="1:5">
      <c r="C31" s="106"/>
      <c r="E31" s="62"/>
    </row>
    <row r="32" spans="1:5">
      <c r="E32" s="62"/>
    </row>
    <row r="33" spans="5:5">
      <c r="E33" s="62"/>
    </row>
    <row r="34" spans="5:5">
      <c r="E34" s="62"/>
    </row>
    <row r="35" spans="5:5">
      <c r="E35" s="62"/>
    </row>
    <row r="37" spans="5:5" ht="12.95" customHeight="1"/>
  </sheetData>
  <sheetProtection algorithmName="SHA-512" hashValue="3EH4ZZOxrcGTzQ+jsy9Ib/UPoqbwpd6ZZV/jPYwm2rizbrIOlVbt2efQkzokFv+4jr7edM97NuKAySLzppzfyQ==" saltValue="JQUY8mfXNg9zWwY9Jh8skQ==" spinCount="100000" sheet="1" objects="1" scenarios="1"/>
  <mergeCells count="4">
    <mergeCell ref="A19:C19"/>
    <mergeCell ref="B1:D1"/>
    <mergeCell ref="B2:D2"/>
    <mergeCell ref="B3:D3"/>
  </mergeCells>
  <hyperlinks>
    <hyperlink ref="C27" location="'2'!A1" display="'2'!A1"/>
    <hyperlink ref="E27" location="'23i'!A1" display="'23i'!A1"/>
    <hyperlink ref="E29" location="'23hCH'!A1" display="'23hCH'!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4074F14A-A1A4-0244-B4DE-F632AD0787F2}">
            <xm:f>txt!$B$222</xm:f>
            <x14:dxf>
              <font>
                <u/>
                <color rgb="FF0000FF"/>
              </font>
              <fill>
                <patternFill patternType="solid">
                  <fgColor indexed="64"/>
                  <bgColor rgb="FFFFFF00"/>
                </patternFill>
              </fill>
            </x14:dxf>
          </x14:cfRule>
          <xm:sqref>E27:E35</xm:sqref>
        </x14:conditionalFormatting>
      </x14:conditionalFormattings>
    </ex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6" tint="-0.249977111117893"/>
    <pageSetUpPr fitToPage="1"/>
  </sheetPr>
  <dimension ref="A1:AB37"/>
  <sheetViews>
    <sheetView workbookViewId="0">
      <selection activeCell="E17" sqref="E17"/>
    </sheetView>
  </sheetViews>
  <sheetFormatPr baseColWidth="10" defaultColWidth="10.6640625" defaultRowHeight="12.75"/>
  <cols>
    <col min="1" max="1" width="50.6640625" style="50" customWidth="1"/>
    <col min="2" max="2" width="2.6640625" style="50" customWidth="1"/>
    <col min="3" max="3" width="8.6640625" style="50" customWidth="1"/>
    <col min="4" max="5" width="12.6640625" style="50" customWidth="1"/>
    <col min="6" max="6" width="2.6640625" style="50" customWidth="1"/>
    <col min="7" max="7" width="8.6640625" style="51" customWidth="1"/>
    <col min="8" max="9" width="12.6640625" style="51" customWidth="1"/>
    <col min="10" max="10" width="5.6640625" style="50" customWidth="1"/>
    <col min="11" max="11" width="11.6640625" style="50" customWidth="1"/>
    <col min="12" max="16384" width="10.6640625" style="50"/>
  </cols>
  <sheetData>
    <row r="1" spans="1:28" ht="15" customHeight="1">
      <c r="B1" s="366" t="str">
        <f>txt!B42</f>
        <v>Preiserhebung</v>
      </c>
      <c r="C1" s="366"/>
      <c r="D1" s="366"/>
      <c r="E1" s="366"/>
      <c r="F1" s="366"/>
      <c r="I1" s="51" t="str">
        <f>txt!B175</f>
        <v>Eidg. Departement des Innern</v>
      </c>
    </row>
    <row r="2" spans="1:28" ht="15" customHeight="1">
      <c r="B2" s="366" t="str">
        <f>txt!B43</f>
        <v>Produzentenpreisindex</v>
      </c>
      <c r="C2" s="366"/>
      <c r="D2" s="366"/>
      <c r="E2" s="366"/>
      <c r="F2" s="366"/>
      <c r="I2" s="51" t="str">
        <f>txt!B176</f>
        <v>Bundesamt für Statistik BFS</v>
      </c>
    </row>
    <row r="3" spans="1:28" ht="15" customHeight="1">
      <c r="B3" s="366" t="str">
        <f>txt!B44</f>
        <v>Informatikdienstleistungen</v>
      </c>
      <c r="C3" s="366"/>
      <c r="D3" s="366"/>
      <c r="E3" s="366"/>
      <c r="F3" s="366"/>
      <c r="I3" s="51" t="str">
        <f>txt!B177</f>
        <v>Abt. Wirtschaft, Sektion PREIS</v>
      </c>
    </row>
    <row r="4" spans="1:28" ht="13.5" customHeight="1">
      <c r="A4" s="63"/>
      <c r="B4" s="63"/>
      <c r="C4" s="63"/>
      <c r="D4" s="63"/>
      <c r="E4" s="63"/>
      <c r="F4" s="63"/>
      <c r="G4" s="63"/>
      <c r="H4" s="63"/>
      <c r="I4" s="63"/>
      <c r="J4" s="63"/>
      <c r="K4" s="63"/>
      <c r="L4" s="63"/>
      <c r="M4" s="63"/>
    </row>
    <row r="5" spans="1:28" ht="13.5" customHeight="1">
      <c r="A5" s="63" t="str">
        <f>txt!B46</f>
        <v>PMS-Nr. 0</v>
      </c>
      <c r="B5" s="63"/>
      <c r="C5" s="63"/>
      <c r="D5" s="63"/>
      <c r="E5" s="63"/>
      <c r="F5" s="63"/>
      <c r="G5" s="63"/>
      <c r="H5" s="63"/>
      <c r="I5" s="51" t="str">
        <f>txt!B45</f>
        <v/>
      </c>
      <c r="J5" s="63"/>
      <c r="M5" s="63"/>
    </row>
    <row r="6" spans="1:28" ht="13.5" customHeight="1">
      <c r="A6" s="63"/>
      <c r="B6" s="63"/>
      <c r="C6" s="63"/>
      <c r="D6" s="63"/>
      <c r="E6" s="63"/>
      <c r="F6" s="63"/>
      <c r="G6" s="63"/>
      <c r="H6" s="63"/>
      <c r="I6" s="63"/>
      <c r="J6" s="63"/>
      <c r="K6" s="63"/>
      <c r="L6" s="63"/>
      <c r="M6" s="63"/>
    </row>
    <row r="7" spans="1:28" ht="13.5" customHeight="1">
      <c r="A7" s="63" t="str">
        <f>txt!B47&amp;": "&amp;txt!B50</f>
        <v>Geschäftsfeld: IT-Beratungsdienstleistungen</v>
      </c>
      <c r="B7" s="63"/>
      <c r="C7" s="63"/>
      <c r="D7" s="63"/>
      <c r="E7" s="63"/>
      <c r="F7" s="63"/>
      <c r="G7" s="349" t="str">
        <f>" "&amp;REPT("|",INT(Steuerung!AA22*105))</f>
        <v xml:space="preserve"> </v>
      </c>
      <c r="H7" s="350"/>
      <c r="I7" s="351"/>
      <c r="J7" s="63"/>
      <c r="K7" s="63"/>
      <c r="L7" s="63"/>
      <c r="M7" s="63"/>
    </row>
    <row r="8" spans="1:28" ht="13.5" customHeight="1">
      <c r="A8" s="63" t="str">
        <f>txt!B48&amp;": "&amp;txt!B59</f>
        <v>Dienstleistungstyp: Schulung &amp; Training</v>
      </c>
      <c r="B8" s="63"/>
      <c r="C8" s="63"/>
      <c r="D8" s="63"/>
      <c r="E8" s="63"/>
      <c r="F8" s="63"/>
      <c r="G8" s="63"/>
      <c r="H8" s="63"/>
      <c r="I8" s="65" t="str">
        <f>IF(OR(D17="",AND($A$28=0,$H$17="")),txt!B237,IF(OR($E$17="",AND($A$28=0,$I$17="")),txt!B239,IF(OR($D$20="",AND($A$28=0,$H$20="")),txt!B238,IF(OR($E$20="",AND($A$28=0,$I$20="")),txt!B240,IF(AND($A$28=0,$G$17=""),txt!B235,IF(AND(A29=1),"",""))))))</f>
        <v>Bitte die aktuelle Kursgebühr angeben (März 2022)</v>
      </c>
      <c r="J8" s="63"/>
      <c r="K8" s="63"/>
      <c r="L8" s="63"/>
      <c r="M8" s="63"/>
    </row>
    <row r="9" spans="1:28" ht="13.5" customHeight="1">
      <c r="G9" s="50"/>
      <c r="H9" s="50"/>
      <c r="I9" s="50"/>
    </row>
    <row r="10" spans="1:28" ht="13.5" customHeight="1">
      <c r="A10" s="357" t="str">
        <f>txt!B181</f>
        <v>Wie hoch war die den Kunden in Rechnung gestellte durchschnittliche Kursgebühr pro Stunde und Teilnehmer?</v>
      </c>
      <c r="B10" s="357"/>
      <c r="C10" s="357"/>
      <c r="D10" s="357"/>
      <c r="E10" s="357"/>
      <c r="F10" s="357"/>
      <c r="G10" s="357"/>
      <c r="H10" s="357"/>
      <c r="I10" s="357"/>
      <c r="J10" s="357"/>
      <c r="K10" s="157"/>
      <c r="L10" s="157"/>
      <c r="M10" s="157"/>
    </row>
    <row r="11" spans="1:28" s="80" customFormat="1" ht="13.5" customHeight="1">
      <c r="A11" s="340" t="str">
        <f>txt!B182</f>
        <v>Wie gut waren die Kurse im Durchschnitt besucht?</v>
      </c>
      <c r="B11" s="340"/>
      <c r="C11" s="340"/>
      <c r="D11" s="340"/>
      <c r="E11" s="340"/>
      <c r="F11" s="340"/>
      <c r="G11" s="340"/>
      <c r="H11" s="340"/>
      <c r="I11" s="340"/>
      <c r="J11" s="340"/>
      <c r="K11" s="153"/>
      <c r="L11" s="153"/>
      <c r="M11" s="153"/>
      <c r="Q11" s="117"/>
    </row>
    <row r="12" spans="1:28" ht="13.5" customHeight="1"/>
    <row r="13" spans="1:28" s="79" customFormat="1" ht="13.5" customHeight="1">
      <c r="A13" s="50"/>
      <c r="B13" s="50"/>
      <c r="C13" s="50"/>
      <c r="D13" s="167" t="str">
        <f>txt!B157</f>
        <v>Kunde in der Schweiz</v>
      </c>
      <c r="E13" s="135"/>
      <c r="F13" s="135"/>
      <c r="G13" s="167" t="str">
        <f>txt!B158</f>
        <v>Kunde im Ausland</v>
      </c>
      <c r="H13" s="167"/>
      <c r="I13" s="167"/>
      <c r="J13" s="50"/>
      <c r="K13" s="50"/>
      <c r="L13" s="50"/>
      <c r="M13" s="50"/>
      <c r="N13" s="50"/>
      <c r="O13" s="50"/>
      <c r="P13" s="50"/>
      <c r="Q13" s="50"/>
      <c r="R13" s="50"/>
      <c r="S13" s="50"/>
      <c r="T13" s="50"/>
      <c r="U13" s="50"/>
      <c r="V13" s="50"/>
      <c r="W13" s="50"/>
      <c r="X13" s="50"/>
      <c r="Y13" s="50"/>
      <c r="Z13" s="50"/>
      <c r="AA13" s="50"/>
      <c r="AB13" s="50"/>
    </row>
    <row r="14" spans="1:28" s="79" customFormat="1" ht="13.5" customHeight="1">
      <c r="A14" s="50"/>
      <c r="B14" s="50"/>
      <c r="C14" s="50"/>
      <c r="D14" s="167"/>
      <c r="E14" s="135"/>
      <c r="F14" s="135"/>
      <c r="G14" s="167"/>
      <c r="H14" s="167"/>
      <c r="I14" s="167"/>
      <c r="J14" s="50"/>
      <c r="K14" s="50"/>
      <c r="L14" s="50"/>
      <c r="M14" s="50"/>
      <c r="N14" s="50"/>
      <c r="O14" s="50"/>
      <c r="P14" s="50"/>
      <c r="Q14" s="50"/>
      <c r="R14" s="50"/>
      <c r="S14" s="50"/>
      <c r="T14" s="50"/>
      <c r="U14" s="50"/>
      <c r="V14" s="50"/>
      <c r="W14" s="50"/>
      <c r="X14" s="50"/>
      <c r="Y14" s="50"/>
      <c r="Z14" s="50"/>
      <c r="AA14" s="50"/>
      <c r="AB14" s="50"/>
    </row>
    <row r="15" spans="1:28" s="79" customFormat="1" ht="13.5" customHeight="1">
      <c r="A15" s="50"/>
      <c r="B15" s="50"/>
      <c r="C15" s="50"/>
      <c r="D15" s="168" t="str">
        <f>txt!B23</f>
        <v>März 2022</v>
      </c>
      <c r="E15" s="168" t="str">
        <f>txt!B24</f>
        <v>März 2021</v>
      </c>
      <c r="F15" s="169"/>
      <c r="G15" s="165"/>
      <c r="H15" s="168" t="str">
        <f>D15</f>
        <v>März 2022</v>
      </c>
      <c r="I15" s="168" t="str">
        <f>E15</f>
        <v>März 2021</v>
      </c>
      <c r="J15" s="50"/>
      <c r="K15" s="50"/>
      <c r="L15" s="50"/>
      <c r="M15" s="50"/>
      <c r="N15" s="50"/>
      <c r="O15" s="50"/>
      <c r="P15" s="50"/>
      <c r="Q15" s="50"/>
      <c r="R15" s="50"/>
      <c r="S15" s="50"/>
      <c r="T15" s="50"/>
      <c r="U15" s="50"/>
      <c r="V15" s="50"/>
      <c r="W15" s="50"/>
      <c r="X15" s="50"/>
      <c r="Y15" s="50"/>
      <c r="Z15" s="50"/>
      <c r="AA15" s="50"/>
      <c r="AB15" s="50"/>
    </row>
    <row r="16" spans="1:28" s="79" customFormat="1" ht="13.5" customHeight="1">
      <c r="A16" s="50"/>
      <c r="B16" s="50"/>
      <c r="C16" s="50"/>
      <c r="D16" s="170" t="str">
        <f>txt!B166</f>
        <v>Preis</v>
      </c>
      <c r="E16" s="170" t="str">
        <f>txt!B166</f>
        <v>Preis</v>
      </c>
      <c r="F16" s="169"/>
      <c r="G16" s="169" t="str">
        <f>txt!B161</f>
        <v>Währung</v>
      </c>
      <c r="H16" s="170" t="str">
        <f>D16</f>
        <v>Preis</v>
      </c>
      <c r="I16" s="170" t="str">
        <f>E16</f>
        <v>Preis</v>
      </c>
      <c r="J16" s="50"/>
      <c r="K16" s="50"/>
      <c r="L16" s="50"/>
      <c r="M16" s="50"/>
      <c r="N16" s="50"/>
      <c r="O16" s="50"/>
      <c r="P16" s="50"/>
      <c r="Q16" s="50"/>
      <c r="R16" s="50"/>
      <c r="S16" s="50"/>
      <c r="T16" s="50"/>
      <c r="U16" s="50"/>
      <c r="V16" s="50"/>
      <c r="W16" s="50"/>
      <c r="X16" s="50"/>
      <c r="Y16" s="50"/>
      <c r="Z16" s="50"/>
      <c r="AA16" s="50"/>
      <c r="AB16" s="50"/>
    </row>
    <row r="17" spans="1:28" s="79" customFormat="1" ht="27" customHeight="1">
      <c r="A17" s="155" t="str">
        <f>txt!B183</f>
        <v xml:space="preserve">Durchschnittliche Kursgebühr pro Kursstunde und Teilnehmer </v>
      </c>
      <c r="B17" s="137"/>
      <c r="C17" s="171"/>
      <c r="D17" s="309"/>
      <c r="E17" s="309"/>
      <c r="F17" s="172"/>
      <c r="G17" s="279"/>
      <c r="H17" s="284"/>
      <c r="I17" s="284"/>
      <c r="J17" s="50"/>
      <c r="K17" s="50"/>
      <c r="L17" s="50"/>
      <c r="M17" s="50"/>
      <c r="N17" s="50"/>
      <c r="O17" s="50"/>
      <c r="P17" s="50"/>
      <c r="Q17" s="50"/>
      <c r="R17" s="50"/>
      <c r="S17" s="50"/>
      <c r="T17" s="50"/>
      <c r="U17" s="50"/>
      <c r="V17" s="50"/>
      <c r="W17" s="50"/>
      <c r="X17" s="50"/>
      <c r="Y17" s="50"/>
      <c r="Z17" s="50"/>
      <c r="AA17" s="50"/>
      <c r="AB17" s="50"/>
    </row>
    <row r="18" spans="1:28" s="79" customFormat="1" ht="13.5" customHeight="1">
      <c r="A18" s="173"/>
      <c r="B18" s="57"/>
      <c r="C18" s="57"/>
      <c r="D18" s="50"/>
      <c r="E18" s="50"/>
      <c r="F18" s="50"/>
      <c r="G18" s="50"/>
      <c r="H18" s="50"/>
      <c r="I18" s="50"/>
      <c r="J18" s="50"/>
      <c r="K18" s="50"/>
      <c r="L18" s="50"/>
      <c r="M18" s="50"/>
      <c r="N18" s="50"/>
      <c r="O18" s="50"/>
      <c r="P18" s="50"/>
      <c r="Q18" s="50"/>
      <c r="R18" s="50"/>
      <c r="S18" s="50"/>
      <c r="T18" s="50"/>
      <c r="U18" s="50"/>
      <c r="V18" s="50"/>
      <c r="W18" s="50"/>
      <c r="X18" s="50"/>
      <c r="Y18" s="50"/>
      <c r="Z18" s="50"/>
      <c r="AA18" s="50"/>
      <c r="AB18" s="50"/>
    </row>
    <row r="19" spans="1:28" s="79" customFormat="1" ht="13.5" customHeight="1">
      <c r="A19" s="50"/>
      <c r="B19" s="50"/>
      <c r="C19" s="50"/>
      <c r="D19" s="170" t="str">
        <f>txt!B172</f>
        <v>Anzahl</v>
      </c>
      <c r="E19" s="170" t="str">
        <f>txt!B172</f>
        <v>Anzahl</v>
      </c>
      <c r="F19" s="169"/>
      <c r="G19" s="169"/>
      <c r="H19" s="170" t="str">
        <f>D19</f>
        <v>Anzahl</v>
      </c>
      <c r="I19" s="170" t="str">
        <f>E19</f>
        <v>Anzahl</v>
      </c>
      <c r="J19" s="50"/>
      <c r="K19" s="50"/>
      <c r="L19" s="50"/>
      <c r="M19" s="50"/>
      <c r="N19" s="50"/>
      <c r="O19" s="50"/>
      <c r="P19" s="50"/>
      <c r="Q19" s="50"/>
      <c r="R19" s="50"/>
      <c r="S19" s="50"/>
      <c r="T19" s="50"/>
      <c r="U19" s="50"/>
      <c r="V19" s="50"/>
      <c r="W19" s="50"/>
      <c r="X19" s="50"/>
      <c r="Y19" s="50"/>
      <c r="Z19" s="50"/>
      <c r="AA19" s="50"/>
      <c r="AB19" s="50"/>
    </row>
    <row r="20" spans="1:28" s="79" customFormat="1" ht="27" customHeight="1">
      <c r="A20" s="155" t="str">
        <f>txt!B182</f>
        <v>Wie gut waren die Kurse im Durchschnitt besucht?</v>
      </c>
      <c r="B20" s="137"/>
      <c r="C20" s="171"/>
      <c r="D20" s="306"/>
      <c r="E20" s="306"/>
      <c r="F20" s="172"/>
      <c r="G20" s="174"/>
      <c r="H20" s="306"/>
      <c r="I20" s="306"/>
      <c r="J20" s="50"/>
      <c r="K20" s="50"/>
      <c r="L20" s="50"/>
      <c r="M20" s="50"/>
      <c r="N20" s="50"/>
      <c r="O20" s="50"/>
      <c r="P20" s="50"/>
      <c r="Q20" s="50"/>
      <c r="R20" s="50"/>
      <c r="S20" s="50"/>
      <c r="T20" s="50"/>
      <c r="U20" s="50"/>
      <c r="V20" s="50"/>
      <c r="W20" s="50"/>
      <c r="X20" s="50"/>
      <c r="Y20" s="50"/>
      <c r="Z20" s="50"/>
      <c r="AA20" s="50"/>
      <c r="AB20" s="50"/>
    </row>
    <row r="21" spans="1:28" s="79" customFormat="1" ht="13.5" customHeight="1">
      <c r="A21" s="173"/>
      <c r="B21" s="57"/>
      <c r="C21" s="57"/>
      <c r="D21" s="50"/>
      <c r="E21" s="50"/>
      <c r="F21" s="50"/>
      <c r="G21" s="50"/>
      <c r="H21" s="50"/>
      <c r="I21" s="50"/>
      <c r="J21" s="50"/>
      <c r="K21" s="50"/>
      <c r="L21" s="50"/>
      <c r="M21" s="50"/>
      <c r="N21" s="50"/>
      <c r="O21" s="50"/>
      <c r="P21" s="50"/>
      <c r="Q21" s="50"/>
      <c r="R21" s="50"/>
      <c r="S21" s="50"/>
      <c r="T21" s="50"/>
      <c r="U21" s="50"/>
      <c r="V21" s="50"/>
      <c r="W21" s="50"/>
      <c r="X21" s="50"/>
      <c r="Y21" s="50"/>
      <c r="Z21" s="50"/>
      <c r="AA21" s="50"/>
      <c r="AB21" s="50"/>
    </row>
    <row r="22" spans="1:28" s="79" customFormat="1" ht="13.5" customHeight="1">
      <c r="A22" s="173"/>
      <c r="B22" s="57"/>
      <c r="C22" s="57"/>
      <c r="D22" s="50"/>
      <c r="E22" s="50"/>
      <c r="F22" s="50"/>
      <c r="G22" s="50"/>
      <c r="H22" s="50"/>
      <c r="I22" s="50"/>
      <c r="J22" s="50"/>
      <c r="K22" s="50"/>
      <c r="L22" s="50"/>
      <c r="M22" s="50"/>
      <c r="N22" s="50"/>
      <c r="O22" s="50"/>
      <c r="P22" s="50"/>
      <c r="Q22" s="50"/>
      <c r="R22" s="50"/>
      <c r="S22" s="50"/>
      <c r="T22" s="50"/>
      <c r="U22" s="50"/>
      <c r="V22" s="50"/>
      <c r="W22" s="50"/>
      <c r="X22" s="50"/>
      <c r="Y22" s="50"/>
      <c r="Z22" s="50"/>
      <c r="AA22" s="50"/>
      <c r="AB22" s="50"/>
    </row>
    <row r="23" spans="1:28" s="79" customFormat="1" ht="40.5" customHeight="1">
      <c r="A23" s="73" t="str">
        <f>txt!B185</f>
        <v>Sollten Sie für Grosskunden Rabatte gewähren, so sind diese in Abzug zu bringen. Die ausgewiesenen Preise sollten also den durchschnittlichen über alle Kursteilnehmer effektiv verrechneten Gebühren entsprechen.</v>
      </c>
      <c r="B23" s="57"/>
      <c r="C23" s="57"/>
      <c r="D23" s="372" t="str">
        <f>txt!B159</f>
        <v>Defintion "Kunde in der Schweiz": Adresse des Leistungsbezügers im Inland.</v>
      </c>
      <c r="E23" s="372"/>
      <c r="F23" s="173"/>
      <c r="G23" s="372" t="str">
        <f>txt!B160</f>
        <v>Definition "Kunde im Ausland": Adresse des Leistungsbezügers im Ausland.</v>
      </c>
      <c r="H23" s="372"/>
      <c r="I23" s="372"/>
      <c r="J23" s="50"/>
      <c r="K23" s="50"/>
      <c r="L23" s="50"/>
      <c r="M23" s="50"/>
      <c r="N23" s="50"/>
      <c r="O23" s="50"/>
      <c r="P23" s="50"/>
      <c r="Q23" s="50"/>
      <c r="R23" s="50"/>
      <c r="S23" s="50"/>
      <c r="T23" s="50"/>
      <c r="U23" s="50"/>
      <c r="V23" s="50"/>
      <c r="W23" s="50"/>
      <c r="X23" s="50"/>
      <c r="Y23" s="50"/>
      <c r="Z23" s="50"/>
      <c r="AA23" s="50"/>
      <c r="AB23" s="50"/>
    </row>
    <row r="24" spans="1:28" s="79" customFormat="1" ht="7.5" customHeight="1">
      <c r="A24" s="173"/>
      <c r="B24" s="57"/>
      <c r="C24" s="57"/>
      <c r="D24" s="173"/>
      <c r="E24" s="173"/>
      <c r="F24" s="173"/>
      <c r="G24" s="173"/>
      <c r="H24" s="173"/>
      <c r="I24" s="173"/>
      <c r="J24" s="50"/>
      <c r="K24" s="50"/>
      <c r="L24" s="50"/>
      <c r="M24" s="50"/>
      <c r="N24" s="50"/>
      <c r="O24" s="50"/>
      <c r="P24" s="50"/>
      <c r="Q24" s="50"/>
      <c r="R24" s="50"/>
      <c r="S24" s="50"/>
      <c r="T24" s="50"/>
      <c r="U24" s="50"/>
      <c r="V24" s="50"/>
      <c r="W24" s="50"/>
      <c r="X24" s="50"/>
      <c r="Y24" s="50"/>
      <c r="Z24" s="50"/>
      <c r="AA24" s="50"/>
      <c r="AB24" s="50"/>
    </row>
    <row r="25" spans="1:28" s="79" customFormat="1" ht="27" customHeight="1">
      <c r="A25" s="173"/>
      <c r="B25" s="57"/>
      <c r="C25" s="57"/>
      <c r="D25" s="370" t="str">
        <f>txt!B169</f>
        <v>Die Preise sind ohne Mehrwertsteuer anzugeben.</v>
      </c>
      <c r="E25" s="370"/>
      <c r="F25" s="173"/>
      <c r="G25" s="371"/>
      <c r="H25" s="371"/>
      <c r="I25" s="371"/>
      <c r="J25" s="50"/>
      <c r="K25" s="50"/>
      <c r="L25" s="50"/>
      <c r="M25" s="50"/>
      <c r="N25" s="50"/>
      <c r="O25" s="50"/>
      <c r="P25" s="50"/>
      <c r="Q25" s="50"/>
      <c r="R25" s="50"/>
      <c r="S25" s="50"/>
      <c r="T25" s="50"/>
      <c r="U25" s="50"/>
      <c r="V25" s="50"/>
      <c r="W25" s="50"/>
      <c r="X25" s="50"/>
      <c r="Y25" s="50"/>
      <c r="Z25" s="50"/>
      <c r="AA25" s="50"/>
      <c r="AB25" s="50"/>
    </row>
    <row r="26" spans="1:28" ht="13.5" customHeight="1">
      <c r="A26" s="57" t="str">
        <f>txt!B173&amp;":"</f>
        <v>Bemerkungen:</v>
      </c>
      <c r="G26" s="50"/>
      <c r="H26" s="50"/>
      <c r="I26" s="50"/>
    </row>
    <row r="27" spans="1:28" ht="54" customHeight="1">
      <c r="A27" s="367"/>
      <c r="B27" s="368"/>
      <c r="C27" s="368"/>
      <c r="D27" s="368"/>
      <c r="E27" s="368"/>
      <c r="F27" s="368"/>
      <c r="G27" s="368"/>
      <c r="H27" s="368"/>
      <c r="I27" s="369"/>
    </row>
    <row r="28" spans="1:28" ht="13.5" customHeight="1">
      <c r="A28" s="78">
        <f>Steuerung!E23</f>
        <v>1</v>
      </c>
      <c r="B28" s="68"/>
      <c r="C28" s="68"/>
      <c r="D28" s="71"/>
      <c r="E28" s="80"/>
      <c r="F28" s="71"/>
      <c r="G28" s="71"/>
    </row>
    <row r="29" spans="1:28" ht="13.5" customHeight="1">
      <c r="A29" s="78">
        <f>Steuerung!H$22</f>
        <v>0</v>
      </c>
      <c r="C29" s="268" t="str">
        <f>txt!B221</f>
        <v>ZURÜCK</v>
      </c>
      <c r="G29" s="269" t="str">
        <f>IF(OR(D17="",AND($A$28=0,$H$17="")),"",IF(OR($E$17="",AND($A$28=0,$I$17="")),"",IF(OR($D$20="",AND($A$28=0,$H$20="")),"",IF(OR($E$20="",AND($A$28=0,$I$20="")),"",IF(AND($A$28=0,$G$17=""),"",IF(AND(A29=1),txt!$B$222,""))))))</f>
        <v/>
      </c>
    </row>
    <row r="30" spans="1:28" ht="13.5" customHeight="1">
      <c r="A30" s="78"/>
      <c r="D30" s="62"/>
      <c r="G30" s="62"/>
    </row>
    <row r="31" spans="1:28" ht="13.5" customHeight="1">
      <c r="A31" s="78">
        <f>Steuerung!J$22</f>
        <v>0</v>
      </c>
      <c r="G31" s="269" t="str">
        <f>IF(OR(D19="",AND($A$28=0,$H$17="")),"",IF(OR($E$17="",AND($A$28=0,$I$17="")),"",IF(OR($D$20="",AND($A$28=0,$H$20="")),"",IF(OR($E$20="",AND($A$28=0,$I$20="")),"",IF(AND($A$28=0,$G$17=""),"",IF(AND(A31=1,A29=0),txt!$B$222,""))))))</f>
        <v/>
      </c>
    </row>
    <row r="32" spans="1:28" ht="13.5" customHeight="1">
      <c r="A32" s="78"/>
      <c r="G32" s="62"/>
    </row>
    <row r="33" spans="1:7" ht="13.5" customHeight="1">
      <c r="A33" s="78">
        <f>Steuerung!L$22</f>
        <v>1</v>
      </c>
      <c r="G33" s="269" t="str">
        <f>IF(OR(AND($A$28=0,$H$17="")),"",IF(OR($E$17="",AND($A$28=0,$I$17="")),"",IF(OR($D$20="",AND($A$28=0,$H$20="")),"",IF(OR($E$20="",AND($A$28=0,$I$20="")),"",IF(AND($A$28=0,$G$17=""),"",IF(AND(A33=1,A31=0,A29=0),txt!$B$222,""))))))</f>
        <v/>
      </c>
    </row>
    <row r="34" spans="1:7">
      <c r="G34" s="62"/>
    </row>
    <row r="35" spans="1:7">
      <c r="G35" s="62"/>
    </row>
    <row r="36" spans="1:7">
      <c r="G36" s="62"/>
    </row>
    <row r="37" spans="1:7">
      <c r="G37" s="62"/>
    </row>
  </sheetData>
  <sheetProtection algorithmName="SHA-512" hashValue="m1dRq2hRz2vmZHt9s0jWs521lS7W+t6TG9aG+iPzVVfep5yt2OCd1CLGy6vM6F0pkh4SNms/aQwyvrxoPtaR1A==" saltValue="nIQNgpg00Ihkj9lzuR/ajQ==" spinCount="100000" sheet="1" objects="1" scenarios="1"/>
  <mergeCells count="11">
    <mergeCell ref="G7:I7"/>
    <mergeCell ref="B1:F1"/>
    <mergeCell ref="B2:F2"/>
    <mergeCell ref="B3:F3"/>
    <mergeCell ref="A27:I27"/>
    <mergeCell ref="D25:E25"/>
    <mergeCell ref="G25:I25"/>
    <mergeCell ref="A10:J10"/>
    <mergeCell ref="A11:J11"/>
    <mergeCell ref="D23:E23"/>
    <mergeCell ref="G23:I23"/>
  </mergeCells>
  <conditionalFormatting sqref="G13:I25">
    <cfRule type="expression" dxfId="71" priority="3">
      <formula>$A$28=1</formula>
    </cfRule>
  </conditionalFormatting>
  <hyperlinks>
    <hyperlink ref="C29" location="'203'!A1" display="'203'!A1"/>
    <hyperlink ref="G29" location="'3'!A1" display="'3'!A1"/>
    <hyperlink ref="G31" location="'4'!A1" display="'4'!A1"/>
    <hyperlink ref="G33" location="'5'!A1" display="'5'!A1"/>
  </hyperlinks>
  <pageMargins left="0.74803149606299213" right="0.74803149606299213" top="0.39370078740157483" bottom="0.19685039370078741" header="0.51181102362204722" footer="0.51181102362204722"/>
  <pageSetup paperSize="9" scale="88"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1F20357E-E35E-5E44-A572-7983E7A104E8}">
            <xm:f>txt!$B$222</xm:f>
            <x14:dxf>
              <font>
                <u/>
                <color rgb="FF0000FF"/>
              </font>
              <fill>
                <patternFill patternType="solid">
                  <fgColor indexed="64"/>
                  <bgColor rgb="FFFFFF00"/>
                </patternFill>
              </fill>
            </x14:dxf>
          </x14:cfRule>
          <xm:sqref>G29:G37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G17</xm:sqref>
        </x14:dataValidation>
      </x14:dataValidations>
    </ex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theme="6" tint="-0.249977111117893"/>
    <pageSetUpPr fitToPage="1"/>
  </sheetPr>
  <dimension ref="A1:P64"/>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63" t="str">
        <f>txt!B47&amp;": "&amp;txt!B50</f>
        <v>Geschäftsfeld: IT-Beratungsdienstleistungen</v>
      </c>
      <c r="B7" s="63"/>
      <c r="C7" s="63"/>
      <c r="D7" s="63"/>
      <c r="E7" s="63"/>
      <c r="F7" s="63"/>
      <c r="G7" s="63"/>
      <c r="H7" s="349" t="str">
        <f>" "&amp;REPT("|",INT(Steuerung!AA22*107))</f>
        <v xml:space="preserve"> </v>
      </c>
      <c r="I7" s="350"/>
      <c r="J7" s="350"/>
      <c r="K7" s="351"/>
      <c r="L7" s="63"/>
    </row>
    <row r="8" spans="1:16" ht="13.5" customHeight="1">
      <c r="A8" s="63" t="str">
        <f>txt!B48&amp;": "&amp;txt!B57</f>
        <v>Dienstleistungstyp: Beratung zu Hard- &amp; Softwarebeschaffung</v>
      </c>
      <c r="B8" s="63"/>
      <c r="C8" s="63"/>
      <c r="D8" s="63"/>
      <c r="E8" s="63"/>
      <c r="F8" s="63"/>
      <c r="G8" s="63"/>
      <c r="H8" s="63"/>
      <c r="I8" s="63"/>
      <c r="J8" s="63"/>
      <c r="K8" s="65" t="str">
        <f>IF(AND(COUNTIF($A$17:$A$25,"")=9,COUNTIF($A$30:$A$38,"")=9),txt!B228,IF(AND(SUM($C$17:$C$25)&lt;&gt;1,SUM($C$30:$C$38)&lt;&gt;1),txt!B227,IF(AND(COUNTIF($D$17,"")=1,COUNTIF($D$30,"")=1),txt!B235,IF(AND(COUNTIF($E$17:$E$25,"")=9,COUNTIF($E$30:$E$38,"")=9),txt!B233,IF(AND(COUNTIF($F$17:$F$25,"")=9,COUNTIF($F$30:$F$38,"")=9),txt!B234,IF(AND(COUNTIF($H$17:$H$25,"")=9,COUNTIF($H$30:$H$38,"")=9),txt!B251,IF(AND(COUNTIF($I$17:$I$25,"")=9,COUNTIF($I$30:$I$38,"")=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txt!B157</f>
        <v>Kunde in der Schweiz</v>
      </c>
      <c r="H13" s="57"/>
    </row>
    <row r="14" spans="1:16" ht="13.5" customHeight="1"/>
    <row r="15" spans="1:16" ht="13.5" customHeight="1">
      <c r="A15" s="69" t="str">
        <f>txt!B107&amp;"-"&amp;txt!B113</f>
        <v>Plan-Bereich</v>
      </c>
      <c r="B15" s="89"/>
      <c r="C15" s="118"/>
      <c r="D15" s="118"/>
      <c r="E15" s="118" t="str">
        <f>txt!B23</f>
        <v>März 2022</v>
      </c>
      <c r="F15" s="118" t="str">
        <f>txt!B24</f>
        <v>März 2021</v>
      </c>
      <c r="G15" s="119"/>
      <c r="H15" s="118" t="str">
        <f>E15</f>
        <v>März 2022</v>
      </c>
      <c r="I15" s="118" t="str">
        <f>F15</f>
        <v>März 2021</v>
      </c>
      <c r="J15" s="118"/>
      <c r="K15" s="118"/>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J16" s="118"/>
      <c r="K16" s="118"/>
      <c r="L16" s="120"/>
    </row>
    <row r="17" spans="1:12" ht="13.5" customHeight="1">
      <c r="A17" s="281" t="s">
        <v>662</v>
      </c>
      <c r="B17" s="89"/>
      <c r="C17" s="266"/>
      <c r="D17" s="121" t="s">
        <v>159</v>
      </c>
      <c r="E17" s="283"/>
      <c r="F17" s="283"/>
      <c r="G17" s="68"/>
      <c r="H17" s="266"/>
      <c r="I17" s="266"/>
      <c r="J17" s="68"/>
      <c r="K17" s="120"/>
      <c r="L17" s="120"/>
    </row>
    <row r="18" spans="1:12" ht="7.5" customHeight="1">
      <c r="A18" s="60"/>
      <c r="B18" s="89"/>
      <c r="C18" s="120"/>
      <c r="D18" s="120"/>
      <c r="E18" s="122"/>
      <c r="F18" s="122"/>
      <c r="G18" s="68"/>
      <c r="H18" s="120"/>
      <c r="I18" s="120"/>
      <c r="J18" s="68"/>
      <c r="K18" s="120"/>
      <c r="L18" s="120"/>
    </row>
    <row r="19" spans="1:12" ht="13.5" customHeight="1">
      <c r="A19" s="281" t="s">
        <v>663</v>
      </c>
      <c r="B19" s="89"/>
      <c r="C19" s="266"/>
      <c r="D19" s="121" t="s">
        <v>159</v>
      </c>
      <c r="E19" s="283"/>
      <c r="F19" s="283"/>
      <c r="G19" s="68"/>
      <c r="H19" s="266"/>
      <c r="I19" s="266"/>
      <c r="J19" s="68"/>
      <c r="K19" s="120"/>
      <c r="L19" s="120"/>
    </row>
    <row r="20" spans="1:12" ht="7.5" customHeight="1">
      <c r="A20" s="60"/>
      <c r="B20" s="89"/>
      <c r="C20" s="120"/>
      <c r="D20" s="120"/>
      <c r="E20" s="122"/>
      <c r="F20" s="122"/>
      <c r="G20" s="68"/>
      <c r="H20" s="120"/>
      <c r="I20" s="120"/>
      <c r="J20" s="68"/>
      <c r="K20" s="120"/>
      <c r="L20" s="120"/>
    </row>
    <row r="21" spans="1:12" ht="13.5" customHeight="1">
      <c r="A21" s="281" t="s">
        <v>664</v>
      </c>
      <c r="B21" s="89"/>
      <c r="C21" s="266"/>
      <c r="D21" s="121" t="s">
        <v>159</v>
      </c>
      <c r="E21" s="283"/>
      <c r="F21" s="283"/>
      <c r="G21" s="68"/>
      <c r="H21" s="266"/>
      <c r="I21" s="266"/>
      <c r="J21" s="68"/>
      <c r="K21" s="120"/>
      <c r="L21" s="120"/>
    </row>
    <row r="22" spans="1:12" ht="7.5" customHeight="1">
      <c r="A22" s="60"/>
      <c r="B22" s="89"/>
      <c r="C22" s="120"/>
      <c r="D22" s="120"/>
      <c r="E22" s="122"/>
      <c r="F22" s="122"/>
      <c r="G22" s="68"/>
      <c r="H22" s="120"/>
      <c r="I22" s="120"/>
      <c r="J22" s="68"/>
      <c r="K22" s="120"/>
      <c r="L22" s="120"/>
    </row>
    <row r="23" spans="1:12" ht="13.5" customHeight="1">
      <c r="A23" s="281"/>
      <c r="B23" s="89"/>
      <c r="C23" s="266"/>
      <c r="D23" s="121" t="s">
        <v>159</v>
      </c>
      <c r="E23" s="283"/>
      <c r="F23" s="283"/>
      <c r="G23" s="68"/>
      <c r="H23" s="266"/>
      <c r="I23" s="266"/>
      <c r="J23" s="68"/>
      <c r="K23" s="120"/>
      <c r="L23" s="120"/>
    </row>
    <row r="24" spans="1:12" ht="7.5" customHeight="1">
      <c r="A24" s="60"/>
      <c r="B24" s="89"/>
      <c r="C24" s="120"/>
      <c r="D24" s="120"/>
      <c r="E24" s="122"/>
      <c r="F24" s="122"/>
      <c r="G24" s="68"/>
      <c r="H24" s="120"/>
      <c r="I24" s="120"/>
      <c r="J24" s="68"/>
      <c r="K24" s="120"/>
      <c r="L24" s="120"/>
    </row>
    <row r="25" spans="1:12" ht="13.5" customHeight="1">
      <c r="A25" s="281"/>
      <c r="B25" s="89"/>
      <c r="C25" s="266"/>
      <c r="D25" s="121" t="s">
        <v>159</v>
      </c>
      <c r="E25" s="283"/>
      <c r="F25" s="283"/>
      <c r="G25" s="68"/>
      <c r="H25" s="266"/>
      <c r="I25" s="266"/>
      <c r="J25" s="68"/>
      <c r="K25" s="120"/>
      <c r="L25" s="120"/>
    </row>
    <row r="26" spans="1:12" ht="13.5" customHeight="1">
      <c r="A26" s="69"/>
      <c r="B26" s="89"/>
      <c r="C26" s="356" t="str">
        <f>SUM(C17:C25)*100&amp;txt!$B$224</f>
        <v>0% von 100% zugeteilt</v>
      </c>
      <c r="D26" s="356"/>
      <c r="E26" s="120"/>
      <c r="F26" s="120"/>
      <c r="G26" s="68"/>
      <c r="H26" s="120"/>
      <c r="I26" s="120"/>
      <c r="J26" s="68"/>
      <c r="K26" s="120"/>
      <c r="L26" s="120"/>
    </row>
    <row r="27" spans="1:12" ht="13.5" customHeight="1">
      <c r="A27" s="69"/>
      <c r="B27" s="89"/>
      <c r="C27" s="120"/>
      <c r="D27" s="120"/>
      <c r="E27" s="120"/>
      <c r="F27" s="120"/>
      <c r="G27" s="68"/>
      <c r="H27" s="120"/>
      <c r="I27" s="120"/>
      <c r="J27" s="68"/>
      <c r="K27" s="120"/>
      <c r="L27" s="120"/>
    </row>
    <row r="28" spans="1:12" ht="13.5" customHeight="1">
      <c r="A28" s="69" t="str">
        <f>txt!B109&amp;"-"&amp;txt!B113</f>
        <v>Build-Bereich</v>
      </c>
      <c r="B28" s="89"/>
      <c r="C28" s="120"/>
      <c r="D28" s="120"/>
      <c r="E28" s="120"/>
      <c r="F28" s="120"/>
      <c r="G28" s="68"/>
      <c r="H28" s="120"/>
      <c r="I28" s="120"/>
      <c r="J28" s="68"/>
      <c r="K28" s="120"/>
      <c r="L28" s="120"/>
    </row>
    <row r="29" spans="1:12" ht="13.5" customHeight="1">
      <c r="A29" s="69"/>
      <c r="B29" s="89"/>
      <c r="C29" s="120"/>
      <c r="D29" s="120"/>
      <c r="E29" s="120"/>
      <c r="F29" s="120"/>
      <c r="G29" s="68"/>
      <c r="H29" s="118"/>
      <c r="I29" s="118"/>
      <c r="J29" s="68"/>
      <c r="K29" s="120"/>
      <c r="L29" s="120"/>
    </row>
    <row r="30" spans="1:12" ht="13.5" customHeight="1">
      <c r="A30" s="281" t="s">
        <v>662</v>
      </c>
      <c r="B30" s="89"/>
      <c r="C30" s="266"/>
      <c r="D30" s="121" t="s">
        <v>159</v>
      </c>
      <c r="E30" s="282"/>
      <c r="F30" s="282"/>
      <c r="G30" s="89"/>
      <c r="H30" s="266"/>
      <c r="I30" s="266"/>
      <c r="J30" s="89"/>
      <c r="K30" s="120"/>
      <c r="L30" s="120"/>
    </row>
    <row r="31" spans="1:12" ht="7.5" customHeight="1">
      <c r="A31" s="60"/>
      <c r="B31" s="89"/>
      <c r="C31" s="61"/>
      <c r="D31" s="120"/>
      <c r="E31" s="123"/>
      <c r="F31" s="123"/>
      <c r="G31" s="89"/>
      <c r="H31" s="120"/>
      <c r="I31" s="120"/>
      <c r="J31" s="89"/>
      <c r="K31" s="120"/>
      <c r="L31" s="120"/>
    </row>
    <row r="32" spans="1:12" ht="13.5" customHeight="1">
      <c r="A32" s="281" t="s">
        <v>663</v>
      </c>
      <c r="B32" s="89"/>
      <c r="C32" s="266"/>
      <c r="D32" s="121" t="s">
        <v>159</v>
      </c>
      <c r="E32" s="282"/>
      <c r="F32" s="282"/>
      <c r="G32" s="89"/>
      <c r="H32" s="266"/>
      <c r="I32" s="266"/>
      <c r="J32" s="89"/>
      <c r="K32" s="120"/>
      <c r="L32" s="120"/>
    </row>
    <row r="33" spans="1:12" ht="7.5" customHeight="1">
      <c r="A33" s="60"/>
      <c r="B33" s="89"/>
      <c r="C33" s="61"/>
      <c r="D33" s="120"/>
      <c r="E33" s="123"/>
      <c r="F33" s="123"/>
      <c r="G33" s="89"/>
      <c r="H33" s="120"/>
      <c r="I33" s="120"/>
      <c r="J33" s="89"/>
      <c r="K33" s="120"/>
      <c r="L33" s="120"/>
    </row>
    <row r="34" spans="1:12" ht="13.5" customHeight="1">
      <c r="A34" s="281" t="s">
        <v>664</v>
      </c>
      <c r="B34" s="89"/>
      <c r="C34" s="266"/>
      <c r="D34" s="121" t="s">
        <v>159</v>
      </c>
      <c r="E34" s="282"/>
      <c r="F34" s="282"/>
      <c r="G34" s="89"/>
      <c r="H34" s="266"/>
      <c r="I34" s="266"/>
      <c r="J34" s="89"/>
      <c r="K34" s="120"/>
      <c r="L34" s="120"/>
    </row>
    <row r="35" spans="1:12" ht="7.5" customHeight="1">
      <c r="A35" s="60"/>
      <c r="B35" s="89"/>
      <c r="C35" s="61"/>
      <c r="D35" s="120"/>
      <c r="E35" s="123"/>
      <c r="F35" s="123"/>
      <c r="G35" s="89"/>
      <c r="H35" s="120"/>
      <c r="I35" s="120"/>
      <c r="J35" s="89"/>
      <c r="K35" s="120"/>
      <c r="L35" s="120"/>
    </row>
    <row r="36" spans="1:12" ht="13.5" customHeight="1">
      <c r="A36" s="281"/>
      <c r="B36" s="89"/>
      <c r="C36" s="266"/>
      <c r="D36" s="121" t="s">
        <v>159</v>
      </c>
      <c r="E36" s="282"/>
      <c r="F36" s="282"/>
      <c r="G36" s="89"/>
      <c r="H36" s="266"/>
      <c r="I36" s="266"/>
      <c r="J36" s="89"/>
      <c r="K36" s="120"/>
      <c r="L36" s="120"/>
    </row>
    <row r="37" spans="1:12" ht="7.5" customHeight="1">
      <c r="A37" s="60"/>
      <c r="B37" s="89"/>
      <c r="C37" s="61"/>
      <c r="D37" s="120"/>
      <c r="E37" s="123"/>
      <c r="F37" s="123"/>
      <c r="G37" s="89"/>
      <c r="H37" s="120"/>
      <c r="I37" s="120"/>
      <c r="J37" s="89"/>
      <c r="K37" s="120"/>
      <c r="L37" s="120"/>
    </row>
    <row r="38" spans="1:12" ht="13.5" customHeight="1">
      <c r="A38" s="281"/>
      <c r="B38" s="89"/>
      <c r="C38" s="266"/>
      <c r="D38" s="121" t="s">
        <v>159</v>
      </c>
      <c r="E38" s="282"/>
      <c r="F38" s="282"/>
      <c r="G38" s="89"/>
      <c r="H38" s="266"/>
      <c r="I38" s="266"/>
      <c r="J38" s="89"/>
      <c r="K38" s="120"/>
      <c r="L38" s="120"/>
    </row>
    <row r="39" spans="1:12" ht="13.5" customHeight="1">
      <c r="A39" s="69"/>
      <c r="B39" s="89"/>
      <c r="C39" s="356" t="str">
        <f>SUM(C30:C38)*100&amp;txt!$B$224</f>
        <v>0% von 100% zugeteilt</v>
      </c>
      <c r="D39" s="356"/>
      <c r="E39" s="120"/>
      <c r="F39" s="120"/>
      <c r="G39" s="68"/>
      <c r="H39" s="120"/>
      <c r="I39" s="120"/>
      <c r="J39" s="68"/>
      <c r="K39" s="120"/>
      <c r="L39" s="120"/>
    </row>
    <row r="40" spans="1:12" ht="13.5" customHeight="1">
      <c r="A40" s="69"/>
      <c r="B40" s="89"/>
      <c r="C40" s="120"/>
      <c r="D40" s="120"/>
      <c r="E40" s="120"/>
      <c r="F40" s="120"/>
      <c r="G40" s="68"/>
      <c r="H40" s="120"/>
      <c r="I40" s="120"/>
      <c r="J40" s="68"/>
      <c r="K40" s="120"/>
      <c r="L40" s="120"/>
    </row>
    <row r="41" spans="1:12" s="131" customFormat="1" ht="13.5" customHeight="1">
      <c r="A41" s="125" t="str">
        <f>txt!B138&amp;": "&amp;txt!B139</f>
        <v>Beispiel: Projektleiter</v>
      </c>
      <c r="B41" s="126"/>
      <c r="C41" s="127">
        <v>0.28000000000000003</v>
      </c>
      <c r="D41" s="128" t="s">
        <v>159</v>
      </c>
      <c r="E41" s="129">
        <v>160</v>
      </c>
      <c r="F41" s="129">
        <v>160</v>
      </c>
      <c r="G41" s="130"/>
      <c r="H41" s="209">
        <v>0.08</v>
      </c>
      <c r="I41" s="209">
        <v>0.05</v>
      </c>
      <c r="J41" s="130"/>
      <c r="K41" s="120"/>
    </row>
    <row r="42" spans="1:12" ht="7.5" customHeight="1">
      <c r="A42" s="69"/>
      <c r="B42" s="89"/>
      <c r="C42" s="120"/>
      <c r="D42" s="120"/>
      <c r="E42" s="120"/>
      <c r="F42" s="120"/>
      <c r="G42" s="68"/>
      <c r="H42" s="120"/>
      <c r="I42" s="120"/>
      <c r="J42" s="120"/>
      <c r="K42" s="120"/>
      <c r="L42" s="120"/>
    </row>
    <row r="43" spans="1:12" ht="27" customHeight="1">
      <c r="A43" s="233" t="str">
        <f>txt!B108</f>
        <v>Mitarbeiter des 'Plan'-Bereichs sind zum Beispiel  ICT-Berater, ICT-Architekten, ICT-Qualitätsmanager.</v>
      </c>
      <c r="B43" s="89"/>
      <c r="C43" s="339" t="str">
        <f>txt!B159</f>
        <v>Defintion "Kunde in der Schweiz": Adresse des Leistungsbezügers im Inland.</v>
      </c>
      <c r="D43" s="339"/>
      <c r="E43" s="339"/>
      <c r="F43" s="339"/>
      <c r="G43" s="68"/>
      <c r="H43" s="358"/>
      <c r="I43" s="358"/>
      <c r="J43" s="358"/>
      <c r="K43" s="358"/>
      <c r="L43" s="120"/>
    </row>
    <row r="44" spans="1:12" ht="7.5" customHeight="1">
      <c r="A44" s="69"/>
      <c r="B44" s="69"/>
      <c r="C44" s="69"/>
      <c r="D44" s="69"/>
      <c r="E44" s="69"/>
      <c r="F44" s="69"/>
      <c r="G44" s="69"/>
      <c r="H44" s="69"/>
      <c r="I44" s="69"/>
      <c r="J44" s="69"/>
      <c r="K44" s="69"/>
      <c r="L44" s="69"/>
    </row>
    <row r="45" spans="1:12" ht="40.5" customHeight="1">
      <c r="A45" s="233" t="str">
        <f>txt!B110</f>
        <v>Mitarbeiter des 'Build'-Bereichs sind zum Beispiel Applikationsentwickler, Systemingenieure, Wirtschaftsinformatiker.</v>
      </c>
      <c r="B45" s="89"/>
      <c r="C45" s="339" t="str">
        <f>txt!B169</f>
        <v>Die Preise sind ohne Mehrwertsteuer anzugeben.</v>
      </c>
      <c r="D45" s="339"/>
      <c r="E45" s="339"/>
      <c r="F45" s="339"/>
      <c r="G45" s="68"/>
      <c r="H45" s="358"/>
      <c r="I45" s="358"/>
      <c r="J45" s="358"/>
      <c r="K45" s="358"/>
      <c r="L45" s="120"/>
    </row>
    <row r="46" spans="1:12" ht="7.5" customHeight="1">
      <c r="A46" s="69"/>
      <c r="B46" s="89"/>
      <c r="C46" s="120"/>
      <c r="D46" s="120"/>
      <c r="E46" s="120"/>
      <c r="F46" s="120"/>
      <c r="G46" s="68"/>
      <c r="H46" s="120"/>
      <c r="I46" s="120"/>
      <c r="J46" s="120"/>
      <c r="K46" s="120"/>
      <c r="L46" s="120"/>
    </row>
    <row r="47" spans="1:12" ht="67.5" customHeight="1">
      <c r="A47" s="233" t="str">
        <f>txt!B145&amp;":
"&amp;txt!B146</f>
        <v>Stundenansätze:
Die ausgewiesenen Preise sollen den durchschnittlichen (über alle Kunden) effektiv verrechneten Stundenansätzen entsprechen (Rabatte sind separat auszuweisen).</v>
      </c>
      <c r="B47" s="89"/>
      <c r="C47" s="339" t="str">
        <f>txt!B155</f>
        <v xml:space="preserve">Die Zeitanteile der angegebenen Qualifikationsstufen müssen sich zu 100% addieren. Gegebenenfalls nicht genannte Qualifikationsstufen sind bei den Zeitanteilen also nicht zu berücksichtigen.  </v>
      </c>
      <c r="D47" s="339"/>
      <c r="E47" s="339"/>
      <c r="F47" s="339"/>
      <c r="G47" s="68"/>
      <c r="L47" s="120"/>
    </row>
    <row r="48" spans="1:12" ht="13.5" customHeight="1">
      <c r="A48" s="69"/>
      <c r="B48" s="89"/>
      <c r="C48" s="120"/>
      <c r="D48" s="120"/>
      <c r="E48" s="120"/>
      <c r="F48" s="120"/>
      <c r="G48" s="68"/>
      <c r="H48" s="120"/>
      <c r="I48" s="120"/>
      <c r="J48" s="120"/>
      <c r="K48" s="120"/>
      <c r="L48" s="120"/>
    </row>
    <row r="49" spans="1:12" ht="13.5" customHeight="1">
      <c r="A49" s="69" t="str">
        <f>txt!B173&amp;":"</f>
        <v>Bemerkungen:</v>
      </c>
      <c r="B49" s="89"/>
      <c r="C49" s="120"/>
      <c r="D49" s="120"/>
      <c r="E49" s="120"/>
      <c r="F49" s="120"/>
      <c r="G49" s="68"/>
      <c r="H49" s="120"/>
      <c r="I49" s="120"/>
      <c r="J49" s="120"/>
      <c r="K49" s="120"/>
      <c r="L49" s="120"/>
    </row>
    <row r="50" spans="1:12" ht="54" customHeight="1">
      <c r="A50" s="344"/>
      <c r="B50" s="345"/>
      <c r="C50" s="345"/>
      <c r="D50" s="345"/>
      <c r="E50" s="345"/>
      <c r="F50" s="345"/>
      <c r="G50" s="345"/>
      <c r="H50" s="345"/>
      <c r="I50" s="345"/>
      <c r="J50" s="345"/>
      <c r="K50" s="346"/>
      <c r="L50" s="120"/>
    </row>
    <row r="51" spans="1:12" ht="13.5" customHeight="1">
      <c r="A51" s="80"/>
      <c r="B51" s="91"/>
      <c r="C51" s="91"/>
      <c r="D51" s="56"/>
      <c r="E51" s="56"/>
    </row>
    <row r="52" spans="1:12" ht="13.5" customHeight="1">
      <c r="A52" s="78">
        <f>Steuerung!E$22</f>
        <v>0</v>
      </c>
      <c r="C52" s="268" t="str">
        <f>txt!B221</f>
        <v>ZURÜCK</v>
      </c>
      <c r="H52" s="269" t="str">
        <f>IF(AND(COUNTIF($A$17:$A$25,"")=9,COUNTIF($A$30:$A$38,"")=9),"",IF(AND(SUM($C$17:$C$25)&lt;&gt;1,SUM($C$30:$C$38)&lt;&gt;1),"",IF(AND(COUNTIF($D$17,"")=1,COUNTIF($D$30,"")=1),"",IF(AND(COUNTIF($E$17:$E$25,"")=9,COUNTIF($E$30:$E$38,"")=9),"",IF(AND(COUNTIF($F$17:$F$25,"")=9,COUNTIF($F$30:$F$38,"")=9),"",IF(AND(COUNTIF($H$17:$H$25,"")=9,COUNTIF($H$30:$H$38,"")=9),"",IF(AND(COUNTIF($I$17:$I$25,"")=9,COUNTIF($I$30:$I$38,"")=9),"",IF(A52=1,txt!$B$222,""))))))))</f>
        <v/>
      </c>
    </row>
    <row r="53" spans="1:12" ht="13.5" customHeight="1">
      <c r="A53" s="78"/>
      <c r="C53" s="62"/>
      <c r="H53" s="62"/>
    </row>
    <row r="54" spans="1:12" ht="13.5" customHeight="1">
      <c r="A54" s="78">
        <f>Steuerung!H$22</f>
        <v>0</v>
      </c>
      <c r="H54" s="269" t="str">
        <f>IF(AND(COUNTIF($A$17:$A$25,"")=9,COUNTIF($A$30:$A$38,"")=9),"",IF(AND(SUM($C$17:$C$25)&lt;&gt;1,SUM($C$30:$C$38)&lt;&gt;1),"",IF(AND(COUNTIF($D$17,"")=1,COUNTIF($D$30,"")=1),"",IF(AND(COUNTIF($E$17:$E$25,"")=9,COUNTIF($E$30:$E$38,"")=9),"",IF(AND(COUNTIF($F$17:$F$25,"")=9,COUNTIF($F$30:$F$38,"")=9),"",IF(AND(COUNTIF($H$17:$H$25,"")=9,COUNTIF($H$30:$H$38,"")=9),"",IF(AND(COUNTIF($I$17:$I$25,"")=9,COUNTIF($I$30:$I$38,"")=9),"",IF(AND(A52=0,A54=1),txt!$B$222,""))))))))</f>
        <v/>
      </c>
    </row>
    <row r="55" spans="1:12" ht="13.5" customHeight="1">
      <c r="A55" s="78"/>
      <c r="H55" s="62"/>
    </row>
    <row r="56" spans="1:12" ht="13.5" customHeight="1">
      <c r="A56" s="78">
        <f>Steuerung!J$22</f>
        <v>0</v>
      </c>
      <c r="H56" s="269" t="str">
        <f>IF(AND(COUNTIF($A$17:$A$25,"")=9,COUNTIF($A$30:$A$38,"")=9),"",IF(AND(SUM($C$17:$C$25)&lt;&gt;1,SUM($C$30:$C$38)&lt;&gt;1),"",IF(AND(COUNTIF($D$17,"")=1,COUNTIF($D$30,"")=1),"",IF(AND(COUNTIF($E$17:$E$25,"")=9,COUNTIF($E$30:$E$38,"")=9),"",IF(AND(COUNTIF($F$17:$F$25,"")=9,COUNTIF($F$30:$F$38,"")=9),"",IF(AND(COUNTIF($H$17:$H$25,"")=9,COUNTIF($H$30:$H$38,"")=9),"",IF(AND(COUNTIF($I$17:$I$25,"")=9,COUNTIF($I$30:$I$38,"")=9),"",IF(AND(A52=0,A54=0,A56=1),txt!$B$222,""))))))))</f>
        <v/>
      </c>
    </row>
    <row r="57" spans="1:12" ht="13.5" customHeight="1">
      <c r="A57" s="78"/>
      <c r="H57" s="62"/>
    </row>
    <row r="58" spans="1:12" ht="13.5" customHeight="1">
      <c r="A58" s="78">
        <f>Steuerung!L$22</f>
        <v>1</v>
      </c>
      <c r="H58" s="269" t="str">
        <f>IF(AND(COUNTIF($A$17:$A$25,"")=9,COUNTIF($A$30:$A$38,"")=9),"",IF(AND(SUM($C$17:$C$25)&lt;&gt;1,SUM($C$30:$C$38)&lt;&gt;1),"",IF(AND(COUNTIF($D$17,"")=1,COUNTIF($D$30,"")=1),"",IF(AND(COUNTIF($E$17:$E$25,"")=9,COUNTIF($E$30:$E$38,"")=9),"",IF(AND(COUNTIF($F$17:$F$25,"")=9,COUNTIF($F$30:$F$38,"")=9),"",IF(AND(COUNTIF($H$17:$H$25,"")=9,COUNTIF($H$30:$H$38,"")=9),"",IF(AND(COUNTIF($I$17:$I$25,"")=9,COUNTIF($I$30:$I$38,"")=9),"",IF(AND(A52=0,A54=0,A56=0,A58=1),txt!$B$222,""))))))))</f>
        <v/>
      </c>
    </row>
    <row r="59" spans="1:12" ht="13.5" customHeight="1">
      <c r="A59" s="80"/>
      <c r="H59" s="62"/>
    </row>
    <row r="60" spans="1:12" ht="13.5" customHeight="1">
      <c r="A60" s="80"/>
      <c r="H60" s="182"/>
    </row>
    <row r="61" spans="1:12" ht="13.5" customHeight="1">
      <c r="A61" s="80"/>
    </row>
    <row r="62" spans="1:12">
      <c r="A62" s="80"/>
    </row>
    <row r="63" spans="1:12">
      <c r="A63" s="80"/>
    </row>
    <row r="64" spans="1:12">
      <c r="A64" s="80"/>
    </row>
  </sheetData>
  <sheetProtection algorithmName="SHA-512" hashValue="YsIiYetmn9fmIj7jvF2VelOa3JkyZyr+kA14ec1eV1/Hl3vMkSAUu5ceslTnGzBrET6BZO8wDb9xO/cW5xlD/w==" saltValue="lnaZz7aeCGmXTx+YrfW9yA==" spinCount="100000" sheet="1" objects="1" scenarios="1"/>
  <mergeCells count="14">
    <mergeCell ref="H45:K45"/>
    <mergeCell ref="C1:F1"/>
    <mergeCell ref="C2:F2"/>
    <mergeCell ref="C3:F3"/>
    <mergeCell ref="A50:K50"/>
    <mergeCell ref="C43:F43"/>
    <mergeCell ref="H43:K43"/>
    <mergeCell ref="C45:F45"/>
    <mergeCell ref="C47:F47"/>
    <mergeCell ref="A10:I10"/>
    <mergeCell ref="A11:I11"/>
    <mergeCell ref="C26:D26"/>
    <mergeCell ref="C39:D39"/>
    <mergeCell ref="H7:K7"/>
  </mergeCells>
  <conditionalFormatting sqref="H12:K14 H43:K47 J15:K16 J42:K42 K17:K41">
    <cfRule type="expression" dxfId="69" priority="4">
      <formula>$A$51=1</formula>
    </cfRule>
  </conditionalFormatting>
  <conditionalFormatting sqref="H27:I28">
    <cfRule type="expression" dxfId="68" priority="2">
      <formula>$A$51=1</formula>
    </cfRule>
  </conditionalFormatting>
  <dataValidations count="4">
    <dataValidation type="decimal" allowBlank="1" showInputMessage="1" showErrorMessage="1" sqref="C17:C25 C30:C38 H39:I39">
      <formula1>0</formula1>
      <formula2>1</formula2>
    </dataValidation>
    <dataValidation type="decimal" allowBlank="1" showInputMessage="1" showErrorMessage="1" sqref="I37 I18 I20 I26:I29 I31 I33 I22 I24 I35 H18 H20 H22 H24 H26:H29 H31 H33 H35 H37">
      <formula1>0</formula1>
      <formula2>0.99</formula2>
    </dataValidation>
    <dataValidation type="decimal" allowBlank="1" showInputMessage="1" showErrorMessage="1" error="Bitte geben Sie einen Wert zwischen 0% und 99% ein / Entrez une valeur entre 0% et 99%, s.v.p." sqref="H17:I17 H19:I19 H21:I21 H23:I23 H25:I25 H30:I30 H32:I32 H34:I34 H36:I36 H38:I38">
      <formula1>0</formula1>
      <formula2>0.99</formula2>
    </dataValidation>
    <dataValidation type="textLength" allowBlank="1" showInputMessage="1" showErrorMessage="1" error="Bitte verwenden Sie nicht mehr als 199 Zeichen / S.v.p. utilisez 199 caractères au maximum" sqref="A17 A19 A21 A23 A25 A30 A32 A34 A36 A38">
      <formula1>0</formula1>
      <formula2>199</formula2>
    </dataValidation>
  </dataValidations>
  <hyperlinks>
    <hyperlink ref="C52" location="'203'!A1" display="'203'!A1"/>
    <hyperlink ref="H52" location="'23hEX'!A1" display="'23hEX'!A1"/>
    <hyperlink ref="H54" location="'3'!A1" display="'3'!A1"/>
    <hyperlink ref="H56" location="'4'!A1" display="'4'!A1"/>
    <hyperlink ref="H58" location="'5'!A1" display="'5'!A1"/>
  </hyperlinks>
  <pageMargins left="0.74803149606299213" right="0.74803149606299213" top="0.39370078740157483" bottom="0.19685039370078741" header="0.51181102362204722" footer="0.51181102362204722"/>
  <pageSetup paperSize="9" scale="73"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3" operator="equal" id="{6E4962C2-4A87-1648-A39A-0F8021B90297}">
            <xm:f>txt!$B$222</xm:f>
            <x14:dxf>
              <font>
                <u/>
                <color rgb="FF0000FF"/>
              </font>
              <fill>
                <patternFill patternType="solid">
                  <fgColor indexed="64"/>
                  <bgColor rgb="FFFFFF00"/>
                </patternFill>
              </fill>
            </x14:dxf>
          </x14:cfRule>
          <xm:sqref>H59:H60</xm:sqref>
        </x14:conditionalFormatting>
        <x14:conditionalFormatting xmlns:xm="http://schemas.microsoft.com/office/excel/2006/main">
          <x14:cfRule type="cellIs" priority="1" operator="equal" id="{EEE37AFC-6E23-BD42-ACDC-CC2196CBF7D0}">
            <xm:f>txt!$B$222</xm:f>
            <x14:dxf>
              <font>
                <u/>
                <color rgb="FF0000FF"/>
              </font>
              <fill>
                <patternFill patternType="solid">
                  <fgColor indexed="64"/>
                  <bgColor rgb="FFFFFF00"/>
                </patternFill>
              </fill>
            </x14:dxf>
          </x14:cfRule>
          <xm:sqref>H52:H58</xm:sqref>
        </x14:conditionalFormatting>
      </x14:conditionalFormattings>
    </ex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theme="6" tint="-0.249977111117893"/>
    <pageSetUpPr fitToPage="1"/>
  </sheetPr>
  <dimension ref="A1:P61"/>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63" t="str">
        <f>txt!B47&amp;": "&amp;txt!B59</f>
        <v>Geschäftsfeld: Schulung &amp; Training</v>
      </c>
      <c r="B7" s="63"/>
      <c r="C7" s="63"/>
      <c r="D7" s="63"/>
      <c r="E7" s="63"/>
      <c r="F7" s="63"/>
      <c r="G7" s="63"/>
      <c r="H7" s="349" t="str">
        <f>" "&amp;REPT("|",INT(Steuerung!AF22*107))</f>
        <v xml:space="preserve"> </v>
      </c>
      <c r="I7" s="350"/>
      <c r="J7" s="350"/>
      <c r="K7" s="351"/>
      <c r="L7" s="63"/>
    </row>
    <row r="8" spans="1:16" ht="13.5" customHeight="1">
      <c r="A8" s="63" t="str">
        <f>txt!B48&amp;": "&amp;txt!B57</f>
        <v>Dienstleistungstyp: Beratung zu Hard- &amp; Softwarebeschaffung</v>
      </c>
      <c r="B8" s="63"/>
      <c r="C8" s="63"/>
      <c r="D8" s="63"/>
      <c r="E8" s="63"/>
      <c r="F8" s="63"/>
      <c r="G8" s="63"/>
      <c r="H8" s="63"/>
      <c r="I8" s="63"/>
      <c r="J8" s="63"/>
      <c r="K8" s="65" t="str">
        <f>IF(AND(COUNTIF($A$17:$A$25,"")=9,COUNTIF($A$30:$A$38,"")=9),txt!B228,IF(AND(SUM($C$17:$C$25)&lt;&gt;1,SUM($C$30:$C$38)&lt;&gt;1),txt!B227,IF(AND(COUNTIF($D$17,"")=1,COUNTIF($D$30,"")=1),txt!B235,IF(AND(COUNTIF($E$17:$E$25,"")=9,COUNTIF($E$30:$E$38,"")=9),txt!B233,IF(AND(COUNTIF($F$17:$F$25,"")=9,COUNTIF($F$30:$F$38,"")=9),txt!B234,IF(AND(COUNTIF($H$17:$H$25,"")=9,COUNTIF($H$30:$H$38,"")=9),txt!B251,IF(AND(COUNTIF($I$17:$I$25,"")=9,COUNTIF($I$30:$I$38,"")=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txt!B158</f>
        <v>Kunde im Ausland</v>
      </c>
      <c r="H13" s="57"/>
    </row>
    <row r="14" spans="1:16" ht="13.5" customHeight="1"/>
    <row r="15" spans="1:16" ht="13.5" customHeight="1">
      <c r="A15" s="69" t="str">
        <f>txt!B107&amp;"-"&amp;txt!B113</f>
        <v>Plan-Bereich</v>
      </c>
      <c r="B15" s="89"/>
      <c r="C15" s="118"/>
      <c r="D15" s="118"/>
      <c r="E15" s="118" t="str">
        <f>txt!B23</f>
        <v>März 2022</v>
      </c>
      <c r="F15" s="118" t="str">
        <f>txt!B24</f>
        <v>März 2021</v>
      </c>
      <c r="G15" s="119"/>
      <c r="H15" s="118" t="str">
        <f>E15</f>
        <v>März 2022</v>
      </c>
      <c r="I15" s="118" t="str">
        <f>F15</f>
        <v>März 2021</v>
      </c>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K16" s="120"/>
      <c r="L16" s="120"/>
    </row>
    <row r="17" spans="1:12" ht="13.5" customHeight="1">
      <c r="A17" s="281" t="s">
        <v>662</v>
      </c>
      <c r="B17" s="89"/>
      <c r="C17" s="266"/>
      <c r="D17" s="305"/>
      <c r="E17" s="283"/>
      <c r="F17" s="283"/>
      <c r="G17" s="68"/>
      <c r="H17" s="266"/>
      <c r="I17" s="266"/>
      <c r="J17" s="68"/>
      <c r="K17" s="120"/>
      <c r="L17" s="120"/>
    </row>
    <row r="18" spans="1:12" ht="7.5" customHeight="1">
      <c r="A18" s="60"/>
      <c r="B18" s="89"/>
      <c r="C18" s="120"/>
      <c r="D18" s="120"/>
      <c r="E18" s="122"/>
      <c r="F18" s="122"/>
      <c r="G18" s="68"/>
      <c r="H18" s="120"/>
      <c r="I18" s="120"/>
      <c r="J18" s="120"/>
      <c r="K18" s="120"/>
      <c r="L18" s="120"/>
    </row>
    <row r="19" spans="1:12" ht="13.5" customHeight="1">
      <c r="A19" s="281" t="s">
        <v>663</v>
      </c>
      <c r="B19" s="89"/>
      <c r="C19" s="266"/>
      <c r="D19" s="121" t="str">
        <f>IF(C19="","",D17)</f>
        <v/>
      </c>
      <c r="E19" s="283"/>
      <c r="F19" s="283"/>
      <c r="G19" s="68"/>
      <c r="H19" s="266"/>
      <c r="I19" s="266"/>
      <c r="J19" s="68"/>
      <c r="K19" s="120"/>
      <c r="L19" s="120"/>
    </row>
    <row r="20" spans="1:12" ht="7.5" customHeight="1">
      <c r="A20" s="60"/>
      <c r="B20" s="89"/>
      <c r="C20" s="120"/>
      <c r="D20" s="120"/>
      <c r="E20" s="122"/>
      <c r="F20" s="122"/>
      <c r="G20" s="68"/>
      <c r="H20" s="120"/>
      <c r="I20" s="120"/>
      <c r="J20" s="122"/>
      <c r="K20" s="120"/>
      <c r="L20" s="120"/>
    </row>
    <row r="21" spans="1:12" ht="13.5" customHeight="1">
      <c r="A21" s="281" t="s">
        <v>664</v>
      </c>
      <c r="B21" s="89"/>
      <c r="C21" s="266"/>
      <c r="D21" s="121" t="str">
        <f>IF(C21="","",D19)</f>
        <v/>
      </c>
      <c r="E21" s="283"/>
      <c r="F21" s="283"/>
      <c r="G21" s="68"/>
      <c r="H21" s="266"/>
      <c r="I21" s="266"/>
      <c r="J21" s="68"/>
      <c r="K21" s="120"/>
      <c r="L21" s="120"/>
    </row>
    <row r="22" spans="1:12" ht="7.5" customHeight="1">
      <c r="A22" s="60"/>
      <c r="B22" s="89"/>
      <c r="C22" s="120"/>
      <c r="D22" s="120"/>
      <c r="E22" s="122"/>
      <c r="F22" s="122"/>
      <c r="G22" s="68"/>
      <c r="H22" s="120"/>
      <c r="I22" s="120"/>
      <c r="J22" s="122"/>
      <c r="K22" s="120"/>
      <c r="L22" s="120"/>
    </row>
    <row r="23" spans="1:12" ht="13.5" customHeight="1">
      <c r="A23" s="281"/>
      <c r="B23" s="89"/>
      <c r="C23" s="266"/>
      <c r="D23" s="121" t="str">
        <f>IF(C23="","",D21)</f>
        <v/>
      </c>
      <c r="E23" s="283"/>
      <c r="F23" s="283"/>
      <c r="G23" s="68"/>
      <c r="H23" s="266"/>
      <c r="I23" s="266"/>
      <c r="J23" s="68"/>
      <c r="K23" s="120"/>
      <c r="L23" s="120"/>
    </row>
    <row r="24" spans="1:12" ht="7.5" customHeight="1">
      <c r="A24" s="60"/>
      <c r="B24" s="89"/>
      <c r="C24" s="120"/>
      <c r="D24" s="122"/>
      <c r="E24" s="122"/>
      <c r="F24" s="122"/>
      <c r="G24" s="68"/>
      <c r="H24" s="120"/>
      <c r="I24" s="120"/>
      <c r="J24" s="122"/>
      <c r="K24" s="120"/>
      <c r="L24" s="120"/>
    </row>
    <row r="25" spans="1:12" ht="13.5" customHeight="1">
      <c r="A25" s="281"/>
      <c r="B25" s="89"/>
      <c r="C25" s="266"/>
      <c r="D25" s="121" t="str">
        <f>IF(C25="","",D23)</f>
        <v/>
      </c>
      <c r="E25" s="283"/>
      <c r="F25" s="283"/>
      <c r="G25" s="68"/>
      <c r="H25" s="266"/>
      <c r="I25" s="266"/>
      <c r="J25" s="68"/>
      <c r="K25" s="120"/>
      <c r="L25" s="120"/>
    </row>
    <row r="26" spans="1:12" ht="13.5" customHeight="1">
      <c r="A26" s="69"/>
      <c r="B26" s="89"/>
      <c r="C26" s="356" t="str">
        <f>SUM(C17:C25)*100&amp;txt!$B$224</f>
        <v>0% von 100% zugeteilt</v>
      </c>
      <c r="D26" s="356"/>
      <c r="E26" s="120"/>
      <c r="F26" s="120"/>
      <c r="G26" s="68"/>
      <c r="H26" s="120"/>
      <c r="I26" s="120"/>
      <c r="J26" s="120"/>
      <c r="K26" s="120"/>
      <c r="L26" s="120"/>
    </row>
    <row r="27" spans="1:12" ht="13.5" customHeight="1">
      <c r="A27" s="69"/>
      <c r="B27" s="89"/>
      <c r="C27" s="120"/>
      <c r="D27" s="120"/>
      <c r="E27" s="120"/>
      <c r="F27" s="120"/>
      <c r="G27" s="68"/>
      <c r="H27" s="120"/>
      <c r="I27" s="120"/>
      <c r="J27" s="120"/>
      <c r="K27" s="120"/>
      <c r="L27" s="120"/>
    </row>
    <row r="28" spans="1:12" ht="13.5" customHeight="1">
      <c r="A28" s="69" t="str">
        <f>txt!B109&amp;"-"&amp;txt!B113</f>
        <v>Build-Bereich</v>
      </c>
      <c r="B28" s="89"/>
      <c r="C28" s="120"/>
      <c r="D28" s="120"/>
      <c r="E28" s="120"/>
      <c r="F28" s="120"/>
      <c r="G28" s="68"/>
      <c r="H28" s="120"/>
      <c r="I28" s="120"/>
      <c r="J28" s="120"/>
      <c r="K28" s="120"/>
      <c r="L28" s="120"/>
    </row>
    <row r="29" spans="1:12" ht="13.5" customHeight="1">
      <c r="A29" s="69"/>
      <c r="B29" s="89"/>
      <c r="C29" s="120"/>
      <c r="D29" s="120"/>
      <c r="E29" s="120"/>
      <c r="F29" s="120"/>
      <c r="G29" s="68"/>
      <c r="H29" s="118"/>
      <c r="I29" s="118"/>
      <c r="J29" s="120"/>
      <c r="K29" s="120"/>
      <c r="L29" s="120"/>
    </row>
    <row r="30" spans="1:12" ht="13.5" customHeight="1">
      <c r="A30" s="281" t="s">
        <v>662</v>
      </c>
      <c r="B30" s="89"/>
      <c r="C30" s="266"/>
      <c r="D30" s="305"/>
      <c r="E30" s="282"/>
      <c r="F30" s="282"/>
      <c r="G30" s="89"/>
      <c r="H30" s="266"/>
      <c r="I30" s="266"/>
      <c r="J30" s="68"/>
      <c r="K30" s="120"/>
      <c r="L30" s="120"/>
    </row>
    <row r="31" spans="1:12" ht="7.5" customHeight="1">
      <c r="A31" s="60"/>
      <c r="B31" s="89"/>
      <c r="C31" s="61"/>
      <c r="D31" s="120"/>
      <c r="E31" s="123"/>
      <c r="F31" s="123"/>
      <c r="G31" s="89"/>
      <c r="H31" s="120"/>
      <c r="I31" s="120"/>
      <c r="J31" s="124"/>
      <c r="K31" s="120"/>
      <c r="L31" s="120"/>
    </row>
    <row r="32" spans="1:12" ht="13.5" customHeight="1">
      <c r="A32" s="281" t="s">
        <v>663</v>
      </c>
      <c r="B32" s="89"/>
      <c r="C32" s="266"/>
      <c r="D32" s="121" t="str">
        <f>IF(C32="","",D30)</f>
        <v/>
      </c>
      <c r="E32" s="282"/>
      <c r="F32" s="282"/>
      <c r="G32" s="89"/>
      <c r="H32" s="266"/>
      <c r="I32" s="266"/>
      <c r="J32" s="68"/>
      <c r="K32" s="120"/>
      <c r="L32" s="120"/>
    </row>
    <row r="33" spans="1:12" ht="7.5" customHeight="1">
      <c r="A33" s="60"/>
      <c r="B33" s="89"/>
      <c r="C33" s="61"/>
      <c r="D33" s="120"/>
      <c r="E33" s="123"/>
      <c r="F33" s="123"/>
      <c r="G33" s="89"/>
      <c r="H33" s="120"/>
      <c r="I33" s="120"/>
      <c r="J33" s="124"/>
      <c r="K33" s="120"/>
      <c r="L33" s="120"/>
    </row>
    <row r="34" spans="1:12" ht="13.5" customHeight="1">
      <c r="A34" s="281" t="s">
        <v>664</v>
      </c>
      <c r="B34" s="89"/>
      <c r="C34" s="266"/>
      <c r="D34" s="121" t="str">
        <f>IF(C34="","",D32)</f>
        <v/>
      </c>
      <c r="E34" s="282"/>
      <c r="F34" s="282"/>
      <c r="G34" s="89"/>
      <c r="H34" s="266"/>
      <c r="I34" s="266"/>
      <c r="J34" s="68"/>
      <c r="K34" s="120"/>
      <c r="L34" s="120"/>
    </row>
    <row r="35" spans="1:12" ht="7.5" customHeight="1">
      <c r="A35" s="60"/>
      <c r="B35" s="89"/>
      <c r="C35" s="61"/>
      <c r="D35" s="120"/>
      <c r="E35" s="123"/>
      <c r="F35" s="123"/>
      <c r="G35" s="89"/>
      <c r="H35" s="120"/>
      <c r="I35" s="120"/>
      <c r="J35" s="124"/>
      <c r="K35" s="120"/>
      <c r="L35" s="120"/>
    </row>
    <row r="36" spans="1:12" ht="13.5" customHeight="1">
      <c r="A36" s="281"/>
      <c r="B36" s="89"/>
      <c r="C36" s="266"/>
      <c r="D36" s="121" t="str">
        <f>IF(C36="","",D34)</f>
        <v/>
      </c>
      <c r="E36" s="282"/>
      <c r="F36" s="282"/>
      <c r="G36" s="89"/>
      <c r="H36" s="266"/>
      <c r="I36" s="266"/>
      <c r="J36" s="68"/>
      <c r="K36" s="120"/>
      <c r="L36" s="120"/>
    </row>
    <row r="37" spans="1:12" ht="7.5" customHeight="1">
      <c r="A37" s="60"/>
      <c r="B37" s="89"/>
      <c r="C37" s="61"/>
      <c r="D37" s="122"/>
      <c r="E37" s="123"/>
      <c r="F37" s="123"/>
      <c r="G37" s="89"/>
      <c r="H37" s="120"/>
      <c r="I37" s="120"/>
      <c r="J37" s="124"/>
      <c r="K37" s="120"/>
      <c r="L37" s="120"/>
    </row>
    <row r="38" spans="1:12" ht="13.5" customHeight="1">
      <c r="A38" s="281"/>
      <c r="B38" s="89"/>
      <c r="C38" s="266"/>
      <c r="D38" s="121" t="str">
        <f>IF(C38="","",D36)</f>
        <v/>
      </c>
      <c r="E38" s="282"/>
      <c r="F38" s="282"/>
      <c r="G38" s="89"/>
      <c r="H38" s="266"/>
      <c r="I38" s="266"/>
      <c r="J38" s="68"/>
      <c r="K38" s="120"/>
      <c r="L38" s="120"/>
    </row>
    <row r="39" spans="1:12" ht="13.5" customHeight="1">
      <c r="A39" s="69"/>
      <c r="B39" s="89"/>
      <c r="C39" s="356" t="str">
        <f>SUM(C30:C38)*100&amp;txt!$B$224</f>
        <v>0% von 100% zugeteilt</v>
      </c>
      <c r="D39" s="356"/>
      <c r="E39" s="120"/>
      <c r="F39" s="120"/>
      <c r="G39" s="68"/>
      <c r="H39" s="120"/>
      <c r="I39" s="120"/>
      <c r="J39" s="120"/>
      <c r="K39" s="120"/>
      <c r="L39" s="120"/>
    </row>
    <row r="40" spans="1:12" ht="13.5" customHeight="1">
      <c r="A40" s="69"/>
      <c r="B40" s="89"/>
      <c r="C40" s="120"/>
      <c r="D40" s="120"/>
      <c r="E40" s="120"/>
      <c r="F40" s="120"/>
      <c r="G40" s="68"/>
      <c r="H40" s="120"/>
      <c r="I40" s="120"/>
      <c r="J40" s="120"/>
      <c r="K40" s="120"/>
      <c r="L40" s="120"/>
    </row>
    <row r="41" spans="1:12" s="131" customFormat="1" ht="13.5" customHeight="1">
      <c r="A41" s="125" t="str">
        <f>txt!B138&amp;": "&amp;txt!B139</f>
        <v>Beispiel: Projektleiter</v>
      </c>
      <c r="B41" s="126"/>
      <c r="C41" s="127">
        <v>0.28000000000000003</v>
      </c>
      <c r="D41" s="128" t="s">
        <v>159</v>
      </c>
      <c r="E41" s="129">
        <v>160</v>
      </c>
      <c r="F41" s="129">
        <v>160</v>
      </c>
      <c r="G41" s="130"/>
      <c r="H41" s="209">
        <v>0.08</v>
      </c>
      <c r="I41" s="209">
        <v>0.05</v>
      </c>
      <c r="J41" s="130"/>
      <c r="K41" s="120"/>
    </row>
    <row r="42" spans="1:12" ht="7.5" customHeight="1">
      <c r="A42" s="69"/>
      <c r="B42" s="89"/>
      <c r="C42" s="120"/>
      <c r="D42" s="120"/>
      <c r="E42" s="120"/>
      <c r="F42" s="120"/>
      <c r="G42" s="68"/>
      <c r="H42" s="120"/>
      <c r="I42" s="120"/>
      <c r="J42" s="120"/>
      <c r="K42" s="120"/>
      <c r="L42" s="120"/>
    </row>
    <row r="43" spans="1:12" ht="27" customHeight="1">
      <c r="A43" s="233" t="str">
        <f>txt!B108</f>
        <v>Mitarbeiter des 'Plan'-Bereichs sind zum Beispiel  ICT-Berater, ICT-Architekten, ICT-Qualitätsmanager.</v>
      </c>
      <c r="B43" s="89"/>
      <c r="C43" s="339" t="str">
        <f>txt!B160</f>
        <v>Definition "Kunde im Ausland": Adresse des Leistungsbezügers im Ausland.</v>
      </c>
      <c r="D43" s="339"/>
      <c r="E43" s="339"/>
      <c r="F43" s="339"/>
      <c r="G43" s="68"/>
      <c r="H43" s="358"/>
      <c r="I43" s="358"/>
      <c r="J43" s="358"/>
      <c r="K43" s="358"/>
      <c r="L43" s="120"/>
    </row>
    <row r="44" spans="1:12" ht="7.5" customHeight="1">
      <c r="A44" s="69"/>
      <c r="B44" s="69"/>
      <c r="C44" s="69"/>
      <c r="D44" s="69"/>
      <c r="E44" s="69"/>
      <c r="F44" s="69"/>
      <c r="G44" s="69"/>
      <c r="H44" s="69"/>
      <c r="I44" s="69"/>
      <c r="J44" s="69"/>
      <c r="K44" s="69"/>
      <c r="L44" s="69"/>
    </row>
    <row r="45" spans="1:12" ht="40.5" customHeight="1">
      <c r="A45" s="233" t="str">
        <f>txt!B110</f>
        <v>Mitarbeiter des 'Build'-Bereichs sind zum Beispiel Applikationsentwickler, Systemingenieure, Wirtschaftsinformatiker.</v>
      </c>
      <c r="B45" s="89"/>
      <c r="C45" s="339" t="str">
        <f>txt!B169</f>
        <v>Die Preise sind ohne Mehrwertsteuer anzugeben.</v>
      </c>
      <c r="D45" s="339"/>
      <c r="E45" s="339"/>
      <c r="F45" s="339"/>
      <c r="G45" s="68"/>
      <c r="H45" s="358"/>
      <c r="I45" s="358"/>
      <c r="J45" s="358"/>
      <c r="K45" s="358"/>
      <c r="L45" s="120"/>
    </row>
    <row r="46" spans="1:12" ht="7.5" customHeight="1">
      <c r="A46" s="69"/>
      <c r="B46" s="89"/>
      <c r="C46" s="120"/>
      <c r="D46" s="120"/>
      <c r="E46" s="120"/>
      <c r="F46" s="120"/>
      <c r="G46" s="68"/>
      <c r="H46" s="120"/>
      <c r="I46" s="120"/>
      <c r="J46" s="120"/>
      <c r="K46" s="120"/>
      <c r="L46" s="120"/>
    </row>
    <row r="47" spans="1:12" ht="67.5" customHeight="1">
      <c r="A47" s="233" t="str">
        <f>txt!B145&amp;":
"&amp;txt!B146</f>
        <v>Stundenansätze:
Die ausgewiesenen Preise sollen den durchschnittlichen (über alle Kunden) effektiv verrechneten Stundenansätzen entsprechen (Rabatte sind separat auszuweisen).</v>
      </c>
      <c r="B47" s="89"/>
      <c r="C47" s="339" t="str">
        <f>txt!B155</f>
        <v xml:space="preserve">Die Zeitanteile der angegebenen Qualifikationsstufen müssen sich zu 100% addieren. Gegebenenfalls nicht genannte Qualifikationsstufen sind bei den Zeitanteilen also nicht zu berücksichtigen.  </v>
      </c>
      <c r="D47" s="339"/>
      <c r="E47" s="339"/>
      <c r="F47" s="339"/>
      <c r="G47" s="68"/>
      <c r="L47" s="120"/>
    </row>
    <row r="48" spans="1:12" ht="13.5" customHeight="1">
      <c r="A48" s="69"/>
      <c r="B48" s="89"/>
      <c r="C48" s="120"/>
      <c r="D48" s="120"/>
      <c r="E48" s="120"/>
      <c r="F48" s="120"/>
      <c r="G48" s="68"/>
      <c r="H48" s="120"/>
      <c r="I48" s="120"/>
      <c r="J48" s="120"/>
      <c r="K48" s="120"/>
      <c r="L48" s="120"/>
    </row>
    <row r="49" spans="1:12" ht="13.5" customHeight="1">
      <c r="A49" s="69" t="str">
        <f>txt!B173&amp;":"</f>
        <v>Bemerkungen:</v>
      </c>
      <c r="B49" s="89"/>
      <c r="C49" s="120"/>
      <c r="D49" s="120"/>
      <c r="E49" s="120"/>
      <c r="F49" s="120"/>
      <c r="G49" s="68"/>
      <c r="H49" s="120"/>
      <c r="I49" s="120"/>
      <c r="J49" s="120"/>
      <c r="K49" s="120"/>
      <c r="L49" s="120"/>
    </row>
    <row r="50" spans="1:12" ht="54" customHeight="1">
      <c r="A50" s="344"/>
      <c r="B50" s="345"/>
      <c r="C50" s="345"/>
      <c r="D50" s="345"/>
      <c r="E50" s="345"/>
      <c r="F50" s="345"/>
      <c r="G50" s="345"/>
      <c r="H50" s="345"/>
      <c r="I50" s="345"/>
      <c r="J50" s="345"/>
      <c r="K50" s="346"/>
      <c r="L50" s="120"/>
    </row>
    <row r="51" spans="1:12" ht="13.5" customHeight="1">
      <c r="A51" s="78">
        <f>Steuerung!E7</f>
        <v>1</v>
      </c>
      <c r="B51" s="91"/>
      <c r="C51" s="91"/>
      <c r="D51" s="56"/>
      <c r="E51" s="56"/>
    </row>
    <row r="52" spans="1:12" ht="13.5" customHeight="1">
      <c r="A52" s="78">
        <f>Steuerung!H$22</f>
        <v>0</v>
      </c>
      <c r="C52" s="268" t="str">
        <f>txt!B221</f>
        <v>ZURÜCK</v>
      </c>
      <c r="H52" s="269" t="str">
        <f>IF(AND(COUNTIF($A$17:$A$25,"")=9,COUNTIF($A$30:$A$38,"")=9),"",IF(AND(SUM($C$17:$C$25)&lt;&gt;1,SUM($C$30:$C$38)&lt;&gt;1),"",IF(AND(COUNTIF($D$17,"")=1,COUNTIF($D$30,"")=1),"",IF(AND(COUNTIF($E$17:$E$25,"")=9,COUNTIF($E$30:$E$38,"")=9),"",IF(AND(COUNTIF($F$17:$F$25,"")=9,COUNTIF($F$30:$F$38,"")=9),"",IF(AND(COUNTIF($H$17:$H$25,"")=9,COUNTIF($H$30:$H$38,"")=9),"",IF(AND(COUNTIF($I$17:$I$25,"")=9,COUNTIF($I$30:$I$38,"")=9),"",IF(A52=1,txt!$B$222,""))))))))</f>
        <v/>
      </c>
    </row>
    <row r="53" spans="1:12" ht="13.5" customHeight="1">
      <c r="A53" s="78"/>
      <c r="C53" s="62"/>
      <c r="H53" s="62"/>
    </row>
    <row r="54" spans="1:12" ht="13.5" customHeight="1">
      <c r="A54" s="78">
        <f>Steuerung!J$22</f>
        <v>0</v>
      </c>
      <c r="H54" s="269" t="str">
        <f>IF(AND(COUNTIF($A$17:$A$25,"")=9,COUNTIF($A$30:$A$38,"")=9),"",IF(AND(SUM($C$17:$C$25)&lt;&gt;1,SUM($C$30:$C$38)&lt;&gt;1),"",IF(AND(COUNTIF($D$17,"")=1,COUNTIF($D$30,"")=1),"",IF(AND(COUNTIF($E$17:$E$25,"")=9,COUNTIF($E$30:$E$38,"")=9),"",IF(AND(COUNTIF($F$17:$F$25,"")=9,COUNTIF($F$30:$F$38,"")=9),"",IF(AND(COUNTIF($H$17:$H$25,"")=9,COUNTIF($H$30:$H$38,"")=9),"",IF(AND(COUNTIF($I$17:$I$25,"")=9,COUNTIF($I$30:$I$38,"")=9),"",IF(AND(A52=0,A54=1),txt!$B$222,""))))))))</f>
        <v/>
      </c>
    </row>
    <row r="55" spans="1:12" ht="13.5" customHeight="1">
      <c r="A55" s="78"/>
      <c r="H55" s="62"/>
    </row>
    <row r="56" spans="1:12" ht="13.5" customHeight="1">
      <c r="A56" s="78">
        <f>Steuerung!L$22</f>
        <v>1</v>
      </c>
      <c r="H56" s="269" t="str">
        <f>IF(AND(COUNTIF($A$17:$A$25,"")=9,COUNTIF($A$30:$A$38,"")=9),"",IF(AND(SUM($C$17:$C$25)&lt;&gt;1,SUM($C$30:$C$38)&lt;&gt;1),"",IF(AND(COUNTIF($D$17,"")=1,COUNTIF($D$30,"")=1),"",IF(AND(COUNTIF($E$17:$E$25,"")=9,COUNTIF($E$30:$E$38,"")=9),"",IF(AND(COUNTIF($F$17:$F$25,"")=9,COUNTIF($F$30:$F$38,"")=9),"",IF(AND(COUNTIF($H$17:$H$25,"")=9,COUNTIF($H$30:$H$38,"")=9),"",IF(AND(COUNTIF($I$17:$I$25,"")=9,COUNTIF($I$30:$I$38,"")=9),"",IF(AND(A52=0,A54=0,A56=1),txt!$B$222,""))))))))</f>
        <v/>
      </c>
    </row>
    <row r="57" spans="1:12" ht="13.5" customHeight="1">
      <c r="A57" s="78"/>
      <c r="H57" s="62"/>
    </row>
    <row r="58" spans="1:12" ht="13.5" customHeight="1">
      <c r="A58" s="78">
        <f>Steuerung!N$6</f>
        <v>0</v>
      </c>
      <c r="H58" s="62"/>
    </row>
    <row r="59" spans="1:12" ht="13.5" customHeight="1">
      <c r="A59" s="78"/>
      <c r="H59" s="62"/>
    </row>
    <row r="60" spans="1:12" ht="13.5" customHeight="1">
      <c r="A60" s="78">
        <f>Steuerung!P$6</f>
        <v>1</v>
      </c>
      <c r="H60" s="182"/>
    </row>
    <row r="61" spans="1:12" ht="13.5" customHeight="1"/>
  </sheetData>
  <sheetProtection algorithmName="SHA-512" hashValue="u8U8HJR/daJY8skgze/5GWp8Gxjf560xCZdMOsdMDkff8IaO91W9D0ZNKMTVZeFILSToGuMYVIGqG9FhqFgNIw==" saltValue="zqeRTvx+W27PTDv0acJLMg==" spinCount="100000" sheet="1" objects="1" scenarios="1"/>
  <mergeCells count="14">
    <mergeCell ref="C47:F47"/>
    <mergeCell ref="A50:K50"/>
    <mergeCell ref="C26:D26"/>
    <mergeCell ref="C39:D39"/>
    <mergeCell ref="C43:F43"/>
    <mergeCell ref="H43:K43"/>
    <mergeCell ref="C45:F45"/>
    <mergeCell ref="H45:K45"/>
    <mergeCell ref="A11:I11"/>
    <mergeCell ref="C1:F1"/>
    <mergeCell ref="C2:F2"/>
    <mergeCell ref="C3:F3"/>
    <mergeCell ref="H7:K7"/>
    <mergeCell ref="A10:I10"/>
  </mergeCells>
  <dataValidations count="4">
    <dataValidation type="decimal" allowBlank="1" showInputMessage="1" showErrorMessage="1" sqref="C17:C25 C30:C38 H39:I39 J18">
      <formula1>0</formula1>
      <formula2>1</formula2>
    </dataValidation>
    <dataValidation type="decimal" allowBlank="1" showInputMessage="1" showErrorMessage="1" sqref="I26:I29 I18 I20 I37 I31 I33 I35 I22 I24 H18 H20 H22 H24 H26:H29 H31 H33 H35 H37">
      <formula1>0</formula1>
      <formula2>0.99</formula2>
    </dataValidation>
    <dataValidation type="decimal" allowBlank="1" showInputMessage="1" showErrorMessage="1" error="Bitte geben Sie einen Wert zwischen 0% und 99% ein / Entrez une valeur entre 0% et 99%, s.v.p." sqref="H17:I17 H19:I19 H21:I21 H23:I23 H25:I25 H30:I30 H32:I32 H34:I34 H36:I36 H38:I38">
      <formula1>0</formula1>
      <formula2>0.99</formula2>
    </dataValidation>
    <dataValidation type="textLength" allowBlank="1" showInputMessage="1" showErrorMessage="1" error="Bitte verwenden Sie nicht mehr als 199 Zeichen / S.v.p. utilisez 199 caractères au maximum" sqref="A17 A19 A21 A23 A25 A30 A32 A34 A36 A38">
      <formula1>0</formula1>
      <formula2>199</formula2>
    </dataValidation>
  </dataValidations>
  <hyperlinks>
    <hyperlink ref="C52" location="'23hCH'!A1" display="'23hCH'!A1"/>
    <hyperlink ref="H56" location="'5'!A1" display="'5'!A1"/>
    <hyperlink ref="H54" location="'4'!A1" display="'4'!A1"/>
    <hyperlink ref="H52" location="'3'!A1" display="'3'!A1"/>
  </hyperlinks>
  <pageMargins left="0.74803149606299213" right="0.74803149606299213" top="0.39370078740157483" bottom="0.19685039370078741" header="0.51181102362204722" footer="0.51181102362204722"/>
  <pageSetup paperSize="9" scale="73"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2" operator="equal" id="{1F2EA35B-4749-8C40-A7AA-0B6CF9B1BCB3}">
            <xm:f>txt!$B$222</xm:f>
            <x14:dxf>
              <font>
                <u/>
                <color rgb="FF0000FF"/>
              </font>
              <fill>
                <patternFill patternType="solid">
                  <fgColor indexed="64"/>
                  <bgColor rgb="FFFFFF00"/>
                </patternFill>
              </fill>
            </x14:dxf>
          </x14:cfRule>
          <xm:sqref>H57:H60</xm:sqref>
        </x14:conditionalFormatting>
        <x14:conditionalFormatting xmlns:xm="http://schemas.microsoft.com/office/excel/2006/main">
          <x14:cfRule type="cellIs" priority="1" operator="equal" id="{B88B9961-DD92-2D4A-8585-904A8E20D44D}">
            <xm:f>txt!$B$222</xm:f>
            <x14:dxf>
              <font>
                <u/>
                <color rgb="FF0000FF"/>
              </font>
              <fill>
                <patternFill patternType="solid">
                  <fgColor indexed="64"/>
                  <bgColor rgb="FFFFFF00"/>
                </patternFill>
              </fill>
            </x14:dxf>
          </x14:cfRule>
          <xm:sqref>H52:H56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Bitte wählen Sie einen Wert aus dem Drop-Down-Menu / Sélectionnez une valeur dans le menu déroulant, s.v.p.">
          <x14:formula1>
            <xm:f>txt!$B$162:$B$164</xm:f>
          </x14:formula1>
          <xm:sqref>D30</xm:sqref>
        </x14:dataValidation>
        <x14:dataValidation type="list" allowBlank="1" showInputMessage="1" showErrorMessage="1" error="Bitte wählen Sie einen Wert aus dem Drop-Down-Menu / Sélectionnez une valeur dans le menu déroulant, s.v.p.">
          <x14:formula1>
            <xm:f>txt!$B$162:$B$164</xm:f>
          </x14:formula1>
          <xm:sqref>D17</xm:sqref>
        </x14:dataValidation>
      </x14:dataValidations>
    </ex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theme="8"/>
    <pageSetUpPr fitToPage="1"/>
  </sheetPr>
  <dimension ref="A1:AS131"/>
  <sheetViews>
    <sheetView workbookViewId="0">
      <selection activeCell="C13" sqref="C13"/>
    </sheetView>
  </sheetViews>
  <sheetFormatPr baseColWidth="10" defaultColWidth="10.6640625" defaultRowHeight="12.75"/>
  <cols>
    <col min="1" max="1" width="50.6640625" style="79" customWidth="1"/>
    <col min="2" max="2" width="2.6640625" style="79" customWidth="1"/>
    <col min="3" max="3" width="32.6640625" style="79" customWidth="1"/>
    <col min="4" max="4" width="2.6640625" style="133" customWidth="1"/>
    <col min="5" max="5" width="32.6640625" style="79" customWidth="1"/>
    <col min="6" max="6" width="5.6640625" style="50" customWidth="1"/>
    <col min="7" max="7" width="60.6640625" style="50" customWidth="1"/>
    <col min="8" max="45" width="10.6640625" style="50"/>
    <col min="46" max="16384" width="10.6640625" style="79"/>
  </cols>
  <sheetData>
    <row r="1" spans="1:5" ht="15" customHeight="1">
      <c r="A1" s="50"/>
      <c r="B1" s="366" t="str">
        <f>txt!B42</f>
        <v>Preiserhebung</v>
      </c>
      <c r="C1" s="366"/>
      <c r="D1" s="366"/>
      <c r="E1" s="51" t="str">
        <f>txt!B175</f>
        <v>Eidg. Departement des Innern</v>
      </c>
    </row>
    <row r="2" spans="1:5" ht="15" customHeight="1">
      <c r="A2" s="50"/>
      <c r="B2" s="366" t="str">
        <f>txt!B43</f>
        <v>Produzentenpreisindex</v>
      </c>
      <c r="C2" s="366"/>
      <c r="D2" s="366"/>
      <c r="E2" s="51" t="str">
        <f>txt!B176</f>
        <v>Bundesamt für Statistik BFS</v>
      </c>
    </row>
    <row r="3" spans="1:5" ht="15" customHeight="1">
      <c r="A3" s="50"/>
      <c r="B3" s="366" t="str">
        <f>txt!B44</f>
        <v>Informatikdienstleistungen</v>
      </c>
      <c r="C3" s="366"/>
      <c r="D3" s="366"/>
      <c r="E3" s="51" t="str">
        <f>txt!B177</f>
        <v>Abt. Wirtschaft, Sektion PREIS</v>
      </c>
    </row>
    <row r="4" spans="1:5" ht="13.5" customHeight="1">
      <c r="A4" s="63"/>
      <c r="B4" s="63"/>
      <c r="C4" s="63"/>
      <c r="D4" s="63"/>
      <c r="E4" s="50"/>
    </row>
    <row r="5" spans="1:5" ht="13.5" customHeight="1">
      <c r="A5" s="63" t="str">
        <f>txt!B46</f>
        <v>PMS-Nr. 0</v>
      </c>
      <c r="B5" s="63"/>
      <c r="C5" s="63"/>
      <c r="D5" s="63"/>
      <c r="E5" s="64" t="str">
        <f>txt!B45</f>
        <v/>
      </c>
    </row>
    <row r="6" spans="1:5" ht="13.5" customHeight="1">
      <c r="A6" s="63"/>
      <c r="B6" s="63"/>
      <c r="C6" s="63"/>
      <c r="D6" s="63"/>
      <c r="E6" s="50"/>
    </row>
    <row r="7" spans="1:5" ht="13.5" customHeight="1">
      <c r="A7" s="373" t="str">
        <f>txt!B47&amp;": "&amp;txt!B51</f>
        <v>Geschäftsfeld: Betrieb-, Support-, Installations- und Wartungsleistungen</v>
      </c>
      <c r="B7" s="373"/>
      <c r="C7" s="373"/>
      <c r="D7" s="63"/>
      <c r="E7" s="83" t="str">
        <f>" "&amp;REPT("|",INT(Steuerung!V27*100))</f>
        <v xml:space="preserve"> </v>
      </c>
    </row>
    <row r="8" spans="1:5" ht="13.5" customHeight="1">
      <c r="A8" s="63"/>
      <c r="B8" s="63"/>
      <c r="C8" s="63"/>
      <c r="D8" s="63"/>
      <c r="E8" s="65" t="str">
        <f>IF(SUM(C13:C15)=1,IF(COUNTIF(E13:E15,"")=1,"",txt!B229),txt!B230)</f>
        <v>Bitte geben Sie die Umsatzanteile richtig und vollständig an</v>
      </c>
    </row>
    <row r="9" spans="1:5" ht="13.5" customHeight="1">
      <c r="A9" s="63"/>
      <c r="B9" s="63"/>
      <c r="C9" s="63"/>
      <c r="D9" s="63"/>
      <c r="E9" s="63"/>
    </row>
    <row r="10" spans="1:5" ht="27" customHeight="1">
      <c r="A10" s="340" t="str">
        <f>txt!B119&amp;" "&amp;txt!B51&amp;" "&amp;txt!B120</f>
        <v>Wie kann der Umsatz mit  Betrieb-, Support-, Installations- und Wartungsleistungen im Jahr 2021 aufgeteilt werden und welcher Anteil der Dienstleistung wird ins Ausland exportiert?</v>
      </c>
      <c r="B10" s="340"/>
      <c r="C10" s="340"/>
      <c r="D10" s="340"/>
      <c r="E10" s="340"/>
    </row>
    <row r="11" spans="1:5" ht="13.5" customHeight="1">
      <c r="A11" s="161"/>
      <c r="B11" s="161"/>
      <c r="C11" s="161"/>
      <c r="D11" s="68"/>
      <c r="E11" s="50"/>
    </row>
    <row r="12" spans="1:5" ht="27" customHeight="1">
      <c r="A12" s="69"/>
      <c r="B12" s="89"/>
      <c r="C12" s="59" t="str">
        <f>txt!B121</f>
        <v>Umsatzanteil am Geschäftsfeld</v>
      </c>
      <c r="D12" s="89"/>
      <c r="E12" s="59" t="str">
        <f>txt!B122</f>
        <v>Exportanteil im Dienstleistungstyp</v>
      </c>
    </row>
    <row r="13" spans="1:5" ht="13.5" customHeight="1">
      <c r="A13" s="60" t="str">
        <f>txt!B48&amp;": "&amp;txt!B60</f>
        <v>Dienstleistungstyp: Betrieb, Support &amp; Wartung</v>
      </c>
      <c r="B13" s="89"/>
      <c r="C13" s="273"/>
      <c r="D13" s="89"/>
      <c r="E13" s="273"/>
    </row>
    <row r="14" spans="1:5" ht="7.5" customHeight="1">
      <c r="A14" s="60"/>
      <c r="B14" s="89"/>
      <c r="C14" s="90"/>
      <c r="D14" s="89"/>
      <c r="E14" s="90"/>
    </row>
    <row r="15" spans="1:5" ht="13.5" customHeight="1">
      <c r="A15" s="60" t="str">
        <f>txt!B48&amp;": "&amp;txt!B61</f>
        <v>Dienstleistungstyp: Installation</v>
      </c>
      <c r="B15" s="89"/>
      <c r="C15" s="273"/>
      <c r="D15" s="89"/>
      <c r="E15" s="273"/>
    </row>
    <row r="16" spans="1:5" ht="13.5" customHeight="1">
      <c r="A16" s="69"/>
      <c r="B16" s="89"/>
      <c r="C16" s="61" t="str">
        <f>SUM(C13:C15)*100&amp;txt!$B$224</f>
        <v>0% von 100% zugeteilt</v>
      </c>
      <c r="D16" s="162"/>
      <c r="E16" s="163"/>
    </row>
    <row r="17" spans="1:5" ht="13.5" customHeight="1">
      <c r="A17" s="68"/>
      <c r="B17" s="68"/>
      <c r="C17" s="68"/>
      <c r="D17" s="68"/>
      <c r="E17" s="50"/>
    </row>
    <row r="18" spans="1:5" ht="13.5" customHeight="1">
      <c r="A18" s="164" t="str">
        <f>txt!B218&amp;":"</f>
        <v>Definitionen:</v>
      </c>
      <c r="B18" s="156"/>
      <c r="C18" s="50"/>
      <c r="D18" s="50"/>
    </row>
    <row r="19" spans="1:5" ht="7.5" customHeight="1">
      <c r="A19" s="156"/>
      <c r="B19" s="156"/>
      <c r="C19" s="156"/>
      <c r="D19" s="156"/>
      <c r="E19" s="156"/>
    </row>
    <row r="20" spans="1:5" ht="54" customHeight="1">
      <c r="A20" s="73" t="str">
        <f>txt!B77</f>
        <v>Im Dienstleistungstyp "Betrieb, Support &amp; Wartung" wird die Datenwiederherstellung nach einem Systemabsturz, die Problembehebung, die (Fern)wartung, Updating-Dienste, Netzwerkanalyse &amp; -überwachung, HelpDesk oder auch Reparaturdienste zusammengefasst.</v>
      </c>
      <c r="B20" s="156"/>
      <c r="C20" s="74"/>
      <c r="D20" s="50"/>
      <c r="E20" s="73" t="str">
        <f>txt!B83</f>
        <v>Dienstleistungen gelten als exportiert, wenn die Adresse des Leistungsbezügers im Ausland liegt.</v>
      </c>
    </row>
    <row r="21" spans="1:5" ht="7.5" customHeight="1">
      <c r="A21" s="156"/>
      <c r="B21" s="156"/>
      <c r="C21" s="156"/>
      <c r="D21" s="156"/>
      <c r="E21" s="156"/>
    </row>
    <row r="22" spans="1:5" ht="27" customHeight="1">
      <c r="A22" s="73" t="str">
        <f>txt!B78</f>
        <v>Der Dienstleistungstyp "Installation" beinhaltet das Installieren (Einrichten) von Arbeitsplatzrechnern und ähnlichen Tätigkeiten.</v>
      </c>
      <c r="B22" s="156"/>
      <c r="C22" s="156"/>
      <c r="D22" s="50"/>
      <c r="E22" s="50"/>
    </row>
    <row r="23" spans="1:5" ht="13.5" customHeight="1">
      <c r="A23" s="50"/>
      <c r="B23" s="50"/>
      <c r="C23" s="50"/>
      <c r="D23" s="50"/>
      <c r="E23" s="50"/>
    </row>
    <row r="24" spans="1:5" ht="13.5" customHeight="1">
      <c r="A24" s="50"/>
      <c r="B24" s="50"/>
      <c r="C24" s="303" t="str">
        <f>txt!$B$221</f>
        <v>ZURÜCK</v>
      </c>
      <c r="D24" s="50"/>
      <c r="E24" s="269" t="str">
        <f>IF(SUM(C13:C15)=1,IF(COUNTIF(E13:E15,"")=1,txt!B222,""),"")</f>
        <v/>
      </c>
    </row>
    <row r="25" spans="1:5" s="50" customFormat="1">
      <c r="E25" s="62"/>
    </row>
    <row r="26" spans="1:5" s="50" customFormat="1">
      <c r="E26" s="62"/>
    </row>
    <row r="27" spans="1:5" s="50" customFormat="1">
      <c r="E27" s="62"/>
    </row>
    <row r="28" spans="1:5" s="50" customFormat="1">
      <c r="E28" s="62"/>
    </row>
    <row r="29" spans="1:5" s="50" customFormat="1">
      <c r="E29" s="62"/>
    </row>
    <row r="30" spans="1:5" s="50" customFormat="1">
      <c r="E30" s="62"/>
    </row>
    <row r="31" spans="1:5" s="50" customFormat="1">
      <c r="E31" s="62"/>
    </row>
    <row r="32" spans="1:5" s="50" customFormat="1">
      <c r="E32" s="62"/>
    </row>
    <row r="33" s="50" customFormat="1"/>
    <row r="34" s="50" customFormat="1"/>
    <row r="35" s="50" customFormat="1"/>
    <row r="36" s="50" customFormat="1"/>
    <row r="37" s="50" customFormat="1"/>
    <row r="38" s="50" customFormat="1"/>
    <row r="39" s="50" customFormat="1"/>
    <row r="40" s="50" customFormat="1"/>
    <row r="41" s="50" customFormat="1"/>
    <row r="42" s="50" customFormat="1"/>
    <row r="43" s="50" customFormat="1"/>
    <row r="44" s="50" customFormat="1"/>
    <row r="45" s="50" customFormat="1"/>
    <row r="46" s="50" customFormat="1"/>
    <row r="47" s="50" customFormat="1"/>
    <row r="48"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sheetData>
  <sheetProtection algorithmName="SHA-512" hashValue="25KUk/jCIE1IQGnjCPjkIwH9MSxFv3BCkA+UuWDR1oqY+zPyKzYDsYS7s7rh+hdpFIvh/9cEgbckQ323F/1NRw==" saltValue="G+JGFHTG09pc/xj0VDWE6Q==" spinCount="100000" sheet="1" objects="1" scenarios="1"/>
  <mergeCells count="5">
    <mergeCell ref="A10:E10"/>
    <mergeCell ref="A7:C7"/>
    <mergeCell ref="B1:D1"/>
    <mergeCell ref="B2:D2"/>
    <mergeCell ref="B3:D3"/>
  </mergeCells>
  <dataValidations count="1">
    <dataValidation type="decimal" allowBlank="1" showInputMessage="1" showErrorMessage="1" sqref="C13:E15">
      <formula1>0</formula1>
      <formula2>1</formula2>
    </dataValidation>
  </dataValidations>
  <hyperlinks>
    <hyperlink ref="E24" location="'30'!A1" display="'30'!A1"/>
    <hyperlink ref="C24" location="'0'!A1" display="'0'!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2" operator="equal" id="{B93540D5-17CB-C04E-A4DC-A029E0C95997}">
            <xm:f>txt!$B$222</xm:f>
            <x14:dxf>
              <font>
                <u/>
                <color rgb="FF0000FF"/>
              </font>
              <fill>
                <patternFill patternType="solid">
                  <fgColor indexed="64"/>
                  <bgColor rgb="FFFFFF00"/>
                </patternFill>
              </fill>
            </x14:dxf>
          </x14:cfRule>
          <xm:sqref>E25:E32</xm:sqref>
        </x14:conditionalFormatting>
        <x14:conditionalFormatting xmlns:xm="http://schemas.microsoft.com/office/excel/2006/main">
          <x14:cfRule type="cellIs" priority="1" operator="equal" id="{6DEBF41D-9806-400A-A280-17ED54298DA1}">
            <xm:f>txt!$B$222</xm:f>
            <x14:dxf>
              <font>
                <u/>
                <color rgb="FF0000FF"/>
              </font>
              <fill>
                <patternFill patternType="solid">
                  <fgColor indexed="64"/>
                  <bgColor rgb="FFFFFF00"/>
                </patternFill>
              </fill>
            </x14:dxf>
          </x14:cfRule>
          <xm:sqref>E24</xm:sqref>
        </x14:conditionalFormatting>
      </x14:conditionalFormattings>
    </ex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theme="8" tint="0.79998168889431442"/>
    <pageSetUpPr fitToPage="1"/>
  </sheetPr>
  <dimension ref="A1:AS128"/>
  <sheetViews>
    <sheetView workbookViewId="0">
      <selection activeCell="C12" sqref="C12"/>
    </sheetView>
  </sheetViews>
  <sheetFormatPr baseColWidth="10" defaultColWidth="10.6640625" defaultRowHeight="12.75"/>
  <cols>
    <col min="1" max="1" width="50.6640625" style="79" customWidth="1"/>
    <col min="2" max="2" width="2.6640625" style="79" customWidth="1"/>
    <col min="3" max="3" width="32.6640625" style="79" customWidth="1"/>
    <col min="4" max="4" width="2.6640625" style="133" customWidth="1"/>
    <col min="5" max="5" width="32.6640625" style="79" customWidth="1"/>
    <col min="6" max="45" width="10.6640625" style="50"/>
    <col min="46" max="16384" width="10.6640625" style="79"/>
  </cols>
  <sheetData>
    <row r="1" spans="1:5" ht="15" customHeight="1">
      <c r="A1" s="50"/>
      <c r="B1" s="366" t="str">
        <f>txt!B42</f>
        <v>Preiserhebung</v>
      </c>
      <c r="C1" s="366"/>
      <c r="D1" s="366"/>
      <c r="E1" s="51" t="str">
        <f>txt!B175</f>
        <v>Eidg. Departement des Innern</v>
      </c>
    </row>
    <row r="2" spans="1:5" ht="15" customHeight="1">
      <c r="A2" s="50"/>
      <c r="B2" s="366" t="str">
        <f>txt!B43</f>
        <v>Produzentenpreisindex</v>
      </c>
      <c r="C2" s="366"/>
      <c r="D2" s="366"/>
      <c r="E2" s="51" t="str">
        <f>txt!B176</f>
        <v>Bundesamt für Statistik BFS</v>
      </c>
    </row>
    <row r="3" spans="1:5" ht="15" customHeight="1">
      <c r="A3" s="50"/>
      <c r="B3" s="366" t="str">
        <f>txt!B44</f>
        <v>Informatikdienstleistungen</v>
      </c>
      <c r="C3" s="366"/>
      <c r="D3" s="366"/>
      <c r="E3" s="51" t="str">
        <f>txt!B177</f>
        <v>Abt. Wirtschaft, Sektion PREIS</v>
      </c>
    </row>
    <row r="4" spans="1:5" ht="13.5" customHeight="1">
      <c r="A4" s="63"/>
      <c r="B4" s="63"/>
      <c r="C4" s="63"/>
      <c r="D4" s="63"/>
      <c r="E4" s="50"/>
    </row>
    <row r="5" spans="1:5" ht="13.5" customHeight="1">
      <c r="A5" s="63" t="str">
        <f>txt!B46</f>
        <v>PMS-Nr. 0</v>
      </c>
      <c r="B5" s="63"/>
      <c r="C5" s="63"/>
      <c r="D5" s="63"/>
      <c r="E5" s="64" t="str">
        <f>txt!B45</f>
        <v/>
      </c>
    </row>
    <row r="6" spans="1:5" ht="13.5" customHeight="1">
      <c r="A6" s="63"/>
      <c r="B6" s="63"/>
      <c r="C6" s="63"/>
      <c r="D6" s="63"/>
      <c r="E6" s="50"/>
    </row>
    <row r="7" spans="1:5" ht="13.5" customHeight="1">
      <c r="A7" s="373" t="str">
        <f>txt!B47&amp;": "&amp;txt!B51</f>
        <v>Geschäftsfeld: Betrieb-, Support-, Installations- und Wartungsleistungen</v>
      </c>
      <c r="B7" s="373"/>
      <c r="C7" s="373"/>
      <c r="D7" s="63"/>
      <c r="E7" s="83" t="str">
        <f>" "&amp;REPT("|",INT(Steuerung!V28*100))</f>
        <v xml:space="preserve"> </v>
      </c>
    </row>
    <row r="8" spans="1:5" ht="13.5" customHeight="1">
      <c r="A8" s="53"/>
      <c r="B8" s="159"/>
      <c r="C8" s="159"/>
      <c r="D8" s="159"/>
      <c r="E8" s="65" t="str">
        <f>IF(COUNTIF($C$12:$C$18,"")=7,txt!B231,IF(A31=1,"",""))</f>
        <v>Bitte wählen Sie eine häufig angewendete Preisfestsetzungsmethode</v>
      </c>
    </row>
    <row r="9" spans="1:5" ht="13.5" customHeight="1">
      <c r="A9" s="53"/>
      <c r="B9" s="159"/>
      <c r="C9" s="159"/>
      <c r="D9" s="159"/>
      <c r="E9" s="159"/>
    </row>
    <row r="10" spans="1:5" ht="13.5" customHeight="1">
      <c r="A10" s="58" t="str">
        <f>txt!B85</f>
        <v>Wie offerieren Sie normalerweise Ihre Dienstleistungen?</v>
      </c>
      <c r="B10" s="57"/>
      <c r="C10" s="57"/>
      <c r="D10" s="159"/>
      <c r="E10" s="159"/>
    </row>
    <row r="11" spans="1:5" ht="27" customHeight="1">
      <c r="A11" s="60"/>
      <c r="B11" s="60"/>
      <c r="C11" s="59" t="str">
        <f>txt!B86</f>
        <v xml:space="preserve">Häufig angewendete Preisfestsetzungsmethode mit einem "X" kennzeichnen </v>
      </c>
      <c r="D11" s="159"/>
      <c r="E11" s="159"/>
    </row>
    <row r="12" spans="1:5" ht="13.5" customHeight="1">
      <c r="A12" s="60" t="str">
        <f>txt!B87</f>
        <v>Festpreis</v>
      </c>
      <c r="B12" s="99"/>
      <c r="C12" s="134"/>
      <c r="D12" s="159"/>
      <c r="E12" s="159"/>
    </row>
    <row r="13" spans="1:5" ht="7.5" customHeight="1">
      <c r="A13" s="60"/>
      <c r="B13" s="99"/>
      <c r="C13" s="101"/>
      <c r="D13" s="159"/>
      <c r="E13" s="159"/>
    </row>
    <row r="14" spans="1:5" ht="13.5" customHeight="1">
      <c r="A14" s="60" t="str">
        <f>txt!B88</f>
        <v>Zeithonorare</v>
      </c>
      <c r="B14" s="99"/>
      <c r="C14" s="134"/>
      <c r="D14" s="159"/>
      <c r="E14" s="159"/>
    </row>
    <row r="15" spans="1:5" ht="7.5" customHeight="1">
      <c r="A15" s="60"/>
      <c r="B15" s="99"/>
      <c r="C15" s="101"/>
      <c r="D15" s="159"/>
      <c r="E15" s="159"/>
    </row>
    <row r="16" spans="1:5" ht="13.5" customHeight="1">
      <c r="A16" s="60" t="str">
        <f>txt!B91</f>
        <v>Abonnemente (monatlich, jährlich)</v>
      </c>
      <c r="B16" s="99"/>
      <c r="C16" s="134"/>
      <c r="D16" s="159"/>
      <c r="E16" s="159"/>
    </row>
    <row r="17" spans="1:5" ht="7.5" customHeight="1">
      <c r="A17" s="60"/>
      <c r="B17" s="99"/>
      <c r="C17" s="101"/>
      <c r="D17" s="159"/>
      <c r="E17" s="159"/>
    </row>
    <row r="18" spans="1:5" ht="13.5" customHeight="1">
      <c r="A18" s="158" t="str">
        <f>txt!B95</f>
        <v>Andere Form der Preisfestsetzung</v>
      </c>
      <c r="B18" s="150"/>
      <c r="C18" s="134"/>
      <c r="D18" s="159"/>
      <c r="E18" s="159"/>
    </row>
    <row r="19" spans="1:5" ht="13.5" customHeight="1">
      <c r="A19" s="50"/>
      <c r="B19" s="50"/>
      <c r="C19" s="80" t="str">
        <f>IF($C18="","",IF(A21="",txt!B84,""))</f>
        <v/>
      </c>
      <c r="D19" s="159"/>
      <c r="E19" s="159"/>
    </row>
    <row r="20" spans="1:5" ht="13.5" customHeight="1">
      <c r="A20" s="104" t="str">
        <f>txt!B105</f>
        <v>Kurzbeschrieb der anderen Form der Preisfestsetzung</v>
      </c>
      <c r="B20" s="50"/>
      <c r="C20" s="50"/>
      <c r="D20" s="159"/>
      <c r="E20" s="159"/>
    </row>
    <row r="21" spans="1:5" ht="54" customHeight="1">
      <c r="A21" s="341"/>
      <c r="B21" s="342"/>
      <c r="C21" s="343"/>
      <c r="D21" s="159"/>
      <c r="E21" s="159"/>
    </row>
    <row r="22" spans="1:5" ht="13.5" customHeight="1">
      <c r="A22" s="50"/>
      <c r="B22" s="50"/>
      <c r="C22" s="50"/>
      <c r="D22" s="159"/>
      <c r="E22" s="159"/>
    </row>
    <row r="23" spans="1:5" ht="13.5" customHeight="1">
      <c r="A23" s="72" t="str">
        <f>txt!B218&amp;":"</f>
        <v>Definitionen:</v>
      </c>
      <c r="B23" s="50"/>
      <c r="C23" s="50"/>
      <c r="D23" s="50"/>
      <c r="E23" s="50"/>
    </row>
    <row r="24" spans="1:5" ht="7.5" customHeight="1">
      <c r="A24" s="50"/>
      <c r="B24" s="50"/>
      <c r="C24" s="50"/>
      <c r="D24" s="50"/>
      <c r="E24" s="50"/>
    </row>
    <row r="25" spans="1:5" ht="27" customHeight="1">
      <c r="A25" s="151" t="str">
        <f>txt!B96</f>
        <v>Festpreis: Der im Voraus festgelegte Lieferumfang der Software wird zu einem bei Vertragsabschluss festgelegten Preis entwickelt.</v>
      </c>
      <c r="B25" s="50"/>
      <c r="C25" s="50"/>
      <c r="D25" s="50"/>
      <c r="E25" s="50"/>
    </row>
    <row r="26" spans="1:5" ht="7.5" customHeight="1">
      <c r="A26" s="50"/>
      <c r="B26" s="50"/>
      <c r="C26" s="50"/>
      <c r="D26" s="50"/>
      <c r="E26" s="50"/>
    </row>
    <row r="27" spans="1:5" ht="54" customHeight="1">
      <c r="A27" s="154" t="str">
        <f>txt!B97</f>
        <v xml:space="preserve">Zeithonorare: Der Preis der Software richtet sich nach der tatsächlich geleisteten Arbeitszeit. Die Zeithonorare können sich in Abhängigkeit von Qualifikationsniveau, Funktion und/oder Seniorität der Programmierer unterscheiden. </v>
      </c>
      <c r="B27" s="50"/>
      <c r="C27" s="50"/>
      <c r="D27" s="50"/>
      <c r="E27" s="50"/>
    </row>
    <row r="28" spans="1:5" ht="7.5" customHeight="1">
      <c r="A28" s="50"/>
      <c r="B28" s="50"/>
      <c r="C28" s="50"/>
      <c r="D28" s="50"/>
      <c r="E28" s="50"/>
    </row>
    <row r="29" spans="1:5" ht="27" customHeight="1">
      <c r="A29" s="154" t="str">
        <f>txt!B101</f>
        <v>Abonnemente: Wiederkehrende Leistungen werden im Rahmen eines Abonnements regelmässig verrechnet.</v>
      </c>
      <c r="B29" s="159"/>
      <c r="C29" s="175"/>
      <c r="D29" s="50"/>
      <c r="E29" s="50"/>
    </row>
    <row r="30" spans="1:5" ht="13.5" customHeight="1">
      <c r="A30" s="80"/>
      <c r="B30" s="159"/>
      <c r="C30" s="159"/>
      <c r="D30" s="159"/>
      <c r="E30" s="159"/>
    </row>
    <row r="31" spans="1:5" ht="13.5" customHeight="1">
      <c r="A31" s="78">
        <f>Steuerung!B29*Steuerung!C29</f>
        <v>0</v>
      </c>
      <c r="B31" s="50"/>
      <c r="C31" s="268" t="str">
        <f>txt!$B$221</f>
        <v>ZURÜCK</v>
      </c>
      <c r="D31" s="50"/>
      <c r="E31" s="269" t="str">
        <f>IF(COUNTIF($C$12:$C$18,"")=7,"",IF(A31=1,txt!B222,""))</f>
        <v/>
      </c>
    </row>
    <row r="32" spans="1:5" ht="13.5" customHeight="1">
      <c r="A32" s="78"/>
      <c r="B32" s="50"/>
      <c r="C32" s="62"/>
      <c r="D32" s="50"/>
      <c r="E32" s="62"/>
    </row>
    <row r="33" spans="1:5" ht="13.5" customHeight="1">
      <c r="A33" s="78">
        <f>Steuerung!B29*Steuerung!C31</f>
        <v>0</v>
      </c>
      <c r="B33" s="50"/>
      <c r="C33" s="50"/>
      <c r="D33" s="50"/>
      <c r="E33" s="269" t="str">
        <f>IF(COUNTIF($C$12:$C$18,"")=7,"",IF(AND(A31=0,A33=1),txt!B222,""))</f>
        <v/>
      </c>
    </row>
    <row r="34" spans="1:5" ht="13.5" customHeight="1">
      <c r="A34" s="78"/>
      <c r="B34" s="50"/>
      <c r="C34" s="50"/>
      <c r="D34" s="50"/>
      <c r="E34" s="62"/>
    </row>
    <row r="35" spans="1:5" ht="13.5" customHeight="1">
      <c r="A35" s="78">
        <f>Steuerung!B33*Steuerung!C33</f>
        <v>0</v>
      </c>
      <c r="B35" s="50"/>
      <c r="C35" s="50"/>
      <c r="D35" s="50"/>
      <c r="E35" s="269" t="str">
        <f>IF(COUNTIF($C$12:$C$18,"")=7,"",IF(AND(A31=0,A33=0,A35=1),txt!B222,""))</f>
        <v/>
      </c>
    </row>
    <row r="36" spans="1:5" ht="13.5" customHeight="1">
      <c r="A36" s="78"/>
      <c r="B36" s="50"/>
      <c r="C36" s="50"/>
      <c r="D36" s="50"/>
      <c r="E36" s="62"/>
    </row>
    <row r="37" spans="1:5" ht="13.5" customHeight="1">
      <c r="A37" s="78">
        <f>Steuerung!B33*Steuerung!C35</f>
        <v>0</v>
      </c>
      <c r="B37" s="50"/>
      <c r="C37" s="50"/>
      <c r="D37" s="50"/>
      <c r="E37" s="269" t="str">
        <f>IF(COUNTIF($C$12:$C$18,"")=7,"",IF(AND(A31=0,A33=0,A35=0,A37=1),txt!B222,""))</f>
        <v/>
      </c>
    </row>
    <row r="38" spans="1:5">
      <c r="A38" s="80"/>
      <c r="B38" s="50"/>
      <c r="C38" s="50"/>
      <c r="D38" s="50"/>
      <c r="E38" s="62"/>
    </row>
    <row r="39" spans="1:5">
      <c r="A39" s="80"/>
      <c r="B39" s="50"/>
      <c r="C39" s="50"/>
      <c r="D39" s="50"/>
      <c r="E39" s="62"/>
    </row>
    <row r="40" spans="1:5">
      <c r="A40" s="80"/>
      <c r="B40" s="50"/>
      <c r="C40" s="50"/>
      <c r="D40" s="50"/>
      <c r="E40" s="50"/>
    </row>
    <row r="41" spans="1:5">
      <c r="A41" s="80"/>
      <c r="B41" s="50"/>
      <c r="C41" s="50"/>
      <c r="D41" s="50"/>
      <c r="E41" s="50"/>
    </row>
    <row r="42" spans="1:5">
      <c r="A42" s="80"/>
      <c r="B42" s="50"/>
      <c r="C42" s="50"/>
      <c r="D42" s="50"/>
      <c r="E42" s="50"/>
    </row>
    <row r="43" spans="1:5">
      <c r="A43" s="80"/>
      <c r="B43" s="50"/>
      <c r="C43" s="50"/>
      <c r="D43" s="50"/>
      <c r="E43" s="50"/>
    </row>
    <row r="44" spans="1:5">
      <c r="A44" s="80"/>
      <c r="B44" s="50"/>
      <c r="C44" s="50"/>
      <c r="D44" s="50"/>
      <c r="E44" s="50"/>
    </row>
    <row r="45" spans="1:5">
      <c r="A45" s="80"/>
      <c r="B45" s="50"/>
      <c r="C45" s="50"/>
      <c r="D45" s="50"/>
      <c r="E45" s="50"/>
    </row>
    <row r="46" spans="1:5">
      <c r="A46" s="80"/>
      <c r="B46" s="50"/>
      <c r="C46" s="50"/>
      <c r="D46" s="50"/>
      <c r="E46" s="50"/>
    </row>
    <row r="47" spans="1:5">
      <c r="A47" s="80"/>
      <c r="B47" s="50"/>
      <c r="C47" s="50"/>
      <c r="D47" s="50"/>
      <c r="E47" s="50"/>
    </row>
    <row r="48" spans="1:5">
      <c r="A48" s="80"/>
      <c r="B48" s="50"/>
      <c r="C48" s="50"/>
      <c r="D48" s="50"/>
      <c r="E48" s="50"/>
    </row>
    <row r="49" spans="1:5">
      <c r="A49" s="80"/>
      <c r="B49" s="50"/>
      <c r="C49" s="50"/>
      <c r="D49" s="50"/>
      <c r="E49" s="50"/>
    </row>
    <row r="50" spans="1:5">
      <c r="A50" s="80"/>
      <c r="B50" s="50"/>
      <c r="C50" s="50"/>
      <c r="D50" s="50"/>
      <c r="E50" s="50"/>
    </row>
    <row r="51" spans="1:5">
      <c r="A51" s="80"/>
      <c r="B51" s="50"/>
      <c r="C51" s="50"/>
      <c r="D51" s="50"/>
      <c r="E51" s="50"/>
    </row>
    <row r="52" spans="1:5">
      <c r="A52" s="80"/>
      <c r="B52" s="50"/>
      <c r="C52" s="50"/>
      <c r="D52" s="50"/>
      <c r="E52" s="50"/>
    </row>
    <row r="53" spans="1:5">
      <c r="A53" s="80"/>
      <c r="B53" s="50"/>
      <c r="C53" s="50"/>
      <c r="D53" s="50"/>
      <c r="E53" s="50"/>
    </row>
    <row r="54" spans="1:5">
      <c r="A54" s="80"/>
      <c r="B54" s="50"/>
      <c r="C54" s="50"/>
      <c r="D54" s="50"/>
      <c r="E54" s="50"/>
    </row>
    <row r="55" spans="1:5">
      <c r="A55" s="50"/>
      <c r="B55" s="50"/>
      <c r="C55" s="50"/>
      <c r="D55" s="50"/>
      <c r="E55" s="50"/>
    </row>
    <row r="56" spans="1:5">
      <c r="A56" s="50"/>
      <c r="B56" s="50"/>
      <c r="C56" s="50"/>
      <c r="D56" s="50"/>
      <c r="E56" s="50"/>
    </row>
    <row r="57" spans="1:5">
      <c r="A57" s="50"/>
      <c r="B57" s="50"/>
      <c r="C57" s="50"/>
      <c r="D57" s="50"/>
      <c r="E57" s="50"/>
    </row>
    <row r="58" spans="1:5">
      <c r="A58" s="50"/>
      <c r="B58" s="50"/>
      <c r="C58" s="50"/>
      <c r="D58" s="50"/>
      <c r="E58" s="50"/>
    </row>
    <row r="59" spans="1:5">
      <c r="A59" s="50"/>
      <c r="B59" s="50"/>
      <c r="C59" s="50"/>
      <c r="D59" s="50"/>
      <c r="E59" s="50"/>
    </row>
    <row r="60" spans="1:5">
      <c r="A60" s="50"/>
      <c r="B60" s="50"/>
      <c r="C60" s="50"/>
      <c r="D60" s="50"/>
      <c r="E60" s="50"/>
    </row>
    <row r="61" spans="1:5">
      <c r="A61" s="50"/>
      <c r="B61" s="50"/>
      <c r="C61" s="50"/>
      <c r="D61" s="50"/>
      <c r="E61" s="50"/>
    </row>
    <row r="62" spans="1:5">
      <c r="A62" s="50"/>
      <c r="B62" s="50"/>
      <c r="C62" s="50"/>
      <c r="D62" s="50"/>
      <c r="E62" s="50"/>
    </row>
    <row r="63" spans="1:5">
      <c r="A63" s="50"/>
      <c r="B63" s="50"/>
      <c r="C63" s="50"/>
      <c r="D63" s="50"/>
      <c r="E63" s="50"/>
    </row>
    <row r="64" spans="1:5">
      <c r="A64" s="50"/>
      <c r="B64" s="50"/>
      <c r="C64" s="50"/>
      <c r="D64" s="50"/>
      <c r="E64" s="50"/>
    </row>
    <row r="65" spans="1:5">
      <c r="A65" s="50"/>
      <c r="B65" s="50"/>
      <c r="C65" s="50"/>
      <c r="D65" s="50"/>
      <c r="E65" s="50"/>
    </row>
    <row r="66" spans="1:5">
      <c r="A66" s="50"/>
      <c r="B66" s="50"/>
      <c r="C66" s="50"/>
      <c r="D66" s="50"/>
      <c r="E66" s="50"/>
    </row>
    <row r="67" spans="1:5">
      <c r="A67" s="50"/>
      <c r="B67" s="50"/>
      <c r="C67" s="50"/>
      <c r="D67" s="50"/>
      <c r="E67" s="50"/>
    </row>
    <row r="68" spans="1:5">
      <c r="A68" s="50"/>
      <c r="B68" s="50"/>
      <c r="C68" s="50"/>
      <c r="D68" s="50"/>
      <c r="E68" s="50"/>
    </row>
    <row r="69" spans="1:5">
      <c r="A69" s="50"/>
      <c r="B69" s="50"/>
      <c r="C69" s="50"/>
      <c r="D69" s="50"/>
      <c r="E69" s="50"/>
    </row>
    <row r="70" spans="1:5">
      <c r="A70" s="50"/>
      <c r="B70" s="50"/>
      <c r="C70" s="50"/>
      <c r="D70" s="50"/>
      <c r="E70" s="50"/>
    </row>
    <row r="71" spans="1:5">
      <c r="A71" s="50"/>
      <c r="B71" s="50"/>
      <c r="C71" s="50"/>
      <c r="D71" s="50"/>
      <c r="E71" s="50"/>
    </row>
    <row r="72" spans="1:5">
      <c r="A72" s="50"/>
      <c r="B72" s="50"/>
      <c r="C72" s="50"/>
      <c r="D72" s="50"/>
      <c r="E72" s="50"/>
    </row>
    <row r="73" spans="1:5">
      <c r="A73" s="50"/>
      <c r="B73" s="50"/>
      <c r="C73" s="50"/>
      <c r="D73" s="50"/>
      <c r="E73" s="50"/>
    </row>
    <row r="74" spans="1:5">
      <c r="A74" s="50"/>
      <c r="B74" s="50"/>
      <c r="C74" s="50"/>
      <c r="D74" s="50"/>
      <c r="E74" s="50"/>
    </row>
    <row r="75" spans="1:5">
      <c r="A75" s="50"/>
      <c r="B75" s="50"/>
      <c r="C75" s="50"/>
      <c r="D75" s="50"/>
      <c r="E75" s="50"/>
    </row>
    <row r="76" spans="1:5">
      <c r="A76" s="50"/>
      <c r="B76" s="50"/>
      <c r="C76" s="50"/>
      <c r="D76" s="50"/>
      <c r="E76" s="50"/>
    </row>
    <row r="77" spans="1:5">
      <c r="A77" s="50"/>
      <c r="B77" s="50"/>
      <c r="C77" s="50"/>
      <c r="D77" s="50"/>
      <c r="E77" s="50"/>
    </row>
    <row r="78" spans="1:5">
      <c r="A78" s="50"/>
      <c r="B78" s="50"/>
      <c r="C78" s="50"/>
      <c r="D78" s="50"/>
      <c r="E78" s="50"/>
    </row>
    <row r="79" spans="1:5">
      <c r="A79" s="50"/>
      <c r="B79" s="50"/>
      <c r="C79" s="50"/>
      <c r="D79" s="50"/>
      <c r="E79" s="50"/>
    </row>
    <row r="80" spans="1:5">
      <c r="A80" s="50"/>
      <c r="B80" s="50"/>
      <c r="C80" s="50"/>
      <c r="D80" s="50"/>
      <c r="E80" s="50"/>
    </row>
    <row r="81" spans="1:5">
      <c r="A81" s="50"/>
      <c r="B81" s="50"/>
      <c r="C81" s="50"/>
      <c r="D81" s="50"/>
      <c r="E81" s="50"/>
    </row>
    <row r="82" spans="1:5">
      <c r="A82" s="50"/>
      <c r="B82" s="50"/>
      <c r="C82" s="50"/>
      <c r="D82" s="50"/>
      <c r="E82" s="50"/>
    </row>
    <row r="83" spans="1:5">
      <c r="A83" s="50"/>
      <c r="B83" s="50"/>
      <c r="C83" s="50"/>
      <c r="D83" s="50"/>
      <c r="E83" s="50"/>
    </row>
    <row r="84" spans="1:5">
      <c r="A84" s="50"/>
      <c r="B84" s="50"/>
      <c r="C84" s="50"/>
      <c r="D84" s="50"/>
      <c r="E84" s="50"/>
    </row>
    <row r="85" spans="1:5">
      <c r="A85" s="50"/>
      <c r="B85" s="50"/>
      <c r="C85" s="50"/>
      <c r="D85" s="50"/>
      <c r="E85" s="50"/>
    </row>
    <row r="86" spans="1:5">
      <c r="A86" s="50"/>
      <c r="B86" s="50"/>
      <c r="C86" s="50"/>
      <c r="D86" s="50"/>
      <c r="E86" s="50"/>
    </row>
    <row r="87" spans="1:5">
      <c r="A87" s="50"/>
      <c r="B87" s="50"/>
      <c r="C87" s="50"/>
      <c r="D87" s="50"/>
      <c r="E87" s="50"/>
    </row>
    <row r="88" spans="1:5">
      <c r="A88" s="50"/>
      <c r="B88" s="50"/>
      <c r="C88" s="50"/>
      <c r="D88" s="50"/>
      <c r="E88" s="50"/>
    </row>
    <row r="89" spans="1:5">
      <c r="A89" s="50"/>
      <c r="B89" s="50"/>
      <c r="C89" s="50"/>
      <c r="D89" s="50"/>
      <c r="E89" s="50"/>
    </row>
    <row r="90" spans="1:5">
      <c r="A90" s="50"/>
      <c r="B90" s="50"/>
      <c r="C90" s="50"/>
      <c r="D90" s="50"/>
      <c r="E90" s="50"/>
    </row>
    <row r="91" spans="1:5">
      <c r="A91" s="50"/>
      <c r="B91" s="50"/>
      <c r="C91" s="50"/>
      <c r="D91" s="50"/>
      <c r="E91" s="50"/>
    </row>
    <row r="92" spans="1:5">
      <c r="A92" s="50"/>
      <c r="B92" s="50"/>
      <c r="C92" s="50"/>
      <c r="D92" s="50"/>
      <c r="E92" s="50"/>
    </row>
    <row r="93" spans="1:5">
      <c r="A93" s="50"/>
      <c r="B93" s="50"/>
      <c r="C93" s="50"/>
      <c r="D93" s="50"/>
      <c r="E93" s="50"/>
    </row>
    <row r="94" spans="1:5">
      <c r="A94" s="50"/>
      <c r="B94" s="50"/>
      <c r="C94" s="50"/>
      <c r="D94" s="50"/>
      <c r="E94" s="50"/>
    </row>
    <row r="95" spans="1:5">
      <c r="A95" s="50"/>
      <c r="B95" s="50"/>
      <c r="C95" s="50"/>
      <c r="D95" s="50"/>
      <c r="E95" s="50"/>
    </row>
    <row r="96" spans="1:5">
      <c r="A96" s="50"/>
      <c r="B96" s="50"/>
      <c r="C96" s="50"/>
      <c r="D96" s="50"/>
      <c r="E96" s="50"/>
    </row>
    <row r="97" spans="1:5">
      <c r="A97" s="50"/>
      <c r="B97" s="50"/>
      <c r="C97" s="50"/>
      <c r="D97" s="50"/>
      <c r="E97" s="50"/>
    </row>
    <row r="98" spans="1:5">
      <c r="A98" s="50"/>
      <c r="B98" s="50"/>
      <c r="C98" s="50"/>
      <c r="D98" s="50"/>
      <c r="E98" s="50"/>
    </row>
    <row r="99" spans="1:5">
      <c r="A99" s="50"/>
      <c r="B99" s="50"/>
      <c r="C99" s="50"/>
      <c r="D99" s="50"/>
      <c r="E99" s="50"/>
    </row>
    <row r="100" spans="1:5">
      <c r="A100" s="50"/>
      <c r="B100" s="50"/>
      <c r="C100" s="50"/>
      <c r="D100" s="50"/>
      <c r="E100" s="50"/>
    </row>
    <row r="101" spans="1:5">
      <c r="A101" s="50"/>
      <c r="B101" s="50"/>
      <c r="C101" s="50"/>
      <c r="D101" s="50"/>
      <c r="E101" s="50"/>
    </row>
    <row r="102" spans="1:5">
      <c r="A102" s="50"/>
      <c r="B102" s="50"/>
      <c r="C102" s="50"/>
      <c r="D102" s="50"/>
      <c r="E102" s="50"/>
    </row>
    <row r="103" spans="1:5">
      <c r="A103" s="50"/>
      <c r="B103" s="50"/>
      <c r="C103" s="50"/>
      <c r="D103" s="50"/>
      <c r="E103" s="50"/>
    </row>
    <row r="104" spans="1:5">
      <c r="A104" s="50"/>
      <c r="B104" s="50"/>
      <c r="C104" s="50"/>
      <c r="D104" s="50"/>
      <c r="E104" s="50"/>
    </row>
    <row r="105" spans="1:5">
      <c r="A105" s="50"/>
      <c r="B105" s="50"/>
      <c r="C105" s="50"/>
      <c r="D105" s="50"/>
      <c r="E105" s="50"/>
    </row>
    <row r="106" spans="1:5">
      <c r="A106" s="50"/>
      <c r="B106" s="50"/>
      <c r="C106" s="50"/>
      <c r="D106" s="50"/>
      <c r="E106" s="50"/>
    </row>
    <row r="107" spans="1:5">
      <c r="A107" s="50"/>
      <c r="B107" s="50"/>
      <c r="C107" s="50"/>
      <c r="D107" s="50"/>
      <c r="E107" s="50"/>
    </row>
    <row r="108" spans="1:5">
      <c r="A108" s="50"/>
      <c r="B108" s="50"/>
      <c r="C108" s="50"/>
      <c r="D108" s="50"/>
      <c r="E108" s="50"/>
    </row>
    <row r="109" spans="1:5">
      <c r="A109" s="50"/>
      <c r="B109" s="50"/>
      <c r="C109" s="50"/>
      <c r="D109" s="50"/>
      <c r="E109" s="50"/>
    </row>
    <row r="110" spans="1:5">
      <c r="A110" s="50"/>
      <c r="B110" s="50"/>
      <c r="C110" s="50"/>
      <c r="D110" s="50"/>
      <c r="E110" s="50"/>
    </row>
    <row r="111" spans="1:5">
      <c r="A111" s="50"/>
      <c r="B111" s="50"/>
      <c r="C111" s="50"/>
      <c r="D111" s="50"/>
      <c r="E111" s="50"/>
    </row>
    <row r="112" spans="1:5">
      <c r="A112" s="50"/>
      <c r="B112" s="50"/>
      <c r="C112" s="50"/>
      <c r="D112" s="50"/>
      <c r="E112" s="50"/>
    </row>
    <row r="113" spans="1:5">
      <c r="A113" s="50"/>
      <c r="B113" s="50"/>
      <c r="C113" s="50"/>
      <c r="D113" s="50"/>
      <c r="E113" s="50"/>
    </row>
    <row r="114" spans="1:5">
      <c r="A114" s="50"/>
      <c r="B114" s="50"/>
      <c r="C114" s="50"/>
      <c r="D114" s="50"/>
      <c r="E114" s="50"/>
    </row>
    <row r="115" spans="1:5">
      <c r="A115" s="50"/>
      <c r="B115" s="50"/>
      <c r="C115" s="50"/>
      <c r="D115" s="50"/>
      <c r="E115" s="50"/>
    </row>
    <row r="116" spans="1:5">
      <c r="A116" s="50"/>
      <c r="B116" s="50"/>
      <c r="C116" s="50"/>
      <c r="D116" s="50"/>
      <c r="E116" s="50"/>
    </row>
    <row r="117" spans="1:5">
      <c r="A117" s="50"/>
      <c r="B117" s="50"/>
      <c r="C117" s="50"/>
      <c r="D117" s="50"/>
      <c r="E117" s="50"/>
    </row>
    <row r="118" spans="1:5">
      <c r="A118" s="50"/>
      <c r="B118" s="50"/>
      <c r="C118" s="50"/>
      <c r="D118" s="50"/>
      <c r="E118" s="50"/>
    </row>
    <row r="119" spans="1:5">
      <c r="A119" s="50"/>
      <c r="B119" s="50"/>
      <c r="C119" s="50"/>
      <c r="D119" s="50"/>
      <c r="E119" s="50"/>
    </row>
    <row r="120" spans="1:5">
      <c r="A120" s="50"/>
      <c r="B120" s="50"/>
      <c r="C120" s="50"/>
      <c r="D120" s="50"/>
      <c r="E120" s="50"/>
    </row>
    <row r="121" spans="1:5">
      <c r="A121" s="50"/>
      <c r="B121" s="50"/>
      <c r="C121" s="50"/>
      <c r="D121" s="50"/>
      <c r="E121" s="50"/>
    </row>
    <row r="122" spans="1:5">
      <c r="A122" s="50"/>
      <c r="B122" s="50"/>
      <c r="C122" s="50"/>
      <c r="D122" s="50"/>
      <c r="E122" s="50"/>
    </row>
    <row r="123" spans="1:5">
      <c r="A123" s="50"/>
      <c r="B123" s="50"/>
      <c r="C123" s="50"/>
      <c r="D123" s="50"/>
      <c r="E123" s="50"/>
    </row>
    <row r="124" spans="1:5">
      <c r="A124" s="50"/>
      <c r="B124" s="50"/>
      <c r="C124" s="50"/>
      <c r="D124" s="50"/>
      <c r="E124" s="50"/>
    </row>
    <row r="125" spans="1:5">
      <c r="A125" s="50"/>
      <c r="B125" s="50"/>
      <c r="C125" s="50"/>
      <c r="D125" s="50"/>
      <c r="E125" s="50"/>
    </row>
    <row r="126" spans="1:5">
      <c r="A126" s="50"/>
      <c r="B126" s="50"/>
      <c r="C126" s="50"/>
      <c r="D126" s="50"/>
      <c r="E126" s="50"/>
    </row>
    <row r="127" spans="1:5">
      <c r="A127" s="50"/>
      <c r="B127" s="50"/>
      <c r="C127" s="50"/>
      <c r="D127" s="50"/>
      <c r="E127" s="50"/>
    </row>
    <row r="128" spans="1:5">
      <c r="A128" s="50"/>
      <c r="B128" s="50"/>
      <c r="C128" s="50"/>
      <c r="D128" s="50"/>
      <c r="E128" s="50"/>
    </row>
  </sheetData>
  <sheetProtection algorithmName="SHA-512" hashValue="qZjxiAUtv1kdzfvRheQzpAAHTf+ti0YOYw9n/Vn/8156eLdU3de2spYu9MjipRvL861yLCXi0eISu3oX3u0RvQ==" saltValue="NE5Bj5bxXzJh40KW5WR/kA==" spinCount="100000" sheet="1" objects="1" scenarios="1"/>
  <mergeCells count="5">
    <mergeCell ref="A21:C21"/>
    <mergeCell ref="A7:C7"/>
    <mergeCell ref="B1:D1"/>
    <mergeCell ref="B2:D2"/>
    <mergeCell ref="B3:D3"/>
  </mergeCells>
  <hyperlinks>
    <hyperlink ref="E31" location="'31cCH'!A1" display="'31cCH'!A1"/>
    <hyperlink ref="E33" location="'31hCH'!A1" display="'31hCH'!A1"/>
    <hyperlink ref="E35" location="'32t'!A1" display="'32t'!A1"/>
    <hyperlink ref="E37" location="'32hCH'!A1" display="'32hCH'!A1"/>
    <hyperlink ref="C31" location="'3'!A1" display="'3'!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2" operator="equal" id="{A4BA037C-06A3-734E-B3D0-5D47334D1284}">
            <xm:f>txt!$B$222</xm:f>
            <x14:dxf>
              <font>
                <u/>
                <color rgb="FF0000FF"/>
              </font>
              <fill>
                <patternFill patternType="solid">
                  <fgColor indexed="64"/>
                  <bgColor rgb="FFFFFF00"/>
                </patternFill>
              </fill>
            </x14:dxf>
          </x14:cfRule>
          <xm:sqref>E32:E39</xm:sqref>
        </x14:conditionalFormatting>
        <x14:conditionalFormatting xmlns:xm="http://schemas.microsoft.com/office/excel/2006/main">
          <x14:cfRule type="cellIs" priority="1" operator="equal" id="{3681CCC8-674A-4476-83FB-A6FC90456F8A}">
            <xm:f>txt!$B$222</xm:f>
            <x14:dxf>
              <font>
                <u/>
                <color rgb="FF0000FF"/>
              </font>
              <fill>
                <patternFill patternType="solid">
                  <fgColor indexed="64"/>
                  <bgColor rgb="FFFFFF00"/>
                </patternFill>
              </fill>
            </x14:dxf>
          </x14:cfRule>
          <xm:sqref>E31</xm:sqref>
        </x14:conditionalFormatting>
      </x14:conditionalFormattings>
    </ex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tabColor theme="8" tint="0.39997558519241921"/>
    <pageSetUpPr fitToPage="1"/>
  </sheetPr>
  <dimension ref="A1:AQ138"/>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12.6640625" style="133" customWidth="1"/>
    <col min="5" max="5" width="12.6640625" style="79" customWidth="1"/>
    <col min="6" max="6" width="2.6640625" style="79" customWidth="1"/>
    <col min="7" max="7" width="8.6640625" style="79" customWidth="1"/>
    <col min="8" max="9" width="12.6640625" style="79" customWidth="1"/>
    <col min="10" max="43" width="10.6640625" style="50"/>
    <col min="44" max="16384" width="10.6640625" style="79"/>
  </cols>
  <sheetData>
    <row r="1" spans="1:9" ht="15" customHeight="1">
      <c r="A1" s="50"/>
      <c r="B1" s="366" t="str">
        <f>txt!B42</f>
        <v>Preiserhebung</v>
      </c>
      <c r="C1" s="366"/>
      <c r="D1" s="366"/>
      <c r="E1" s="366"/>
      <c r="F1" s="366"/>
      <c r="G1" s="50"/>
      <c r="H1" s="50"/>
      <c r="I1" s="51" t="str">
        <f>txt!B175</f>
        <v>Eidg. Departement des Innern</v>
      </c>
    </row>
    <row r="2" spans="1:9" ht="15" customHeight="1">
      <c r="A2" s="50"/>
      <c r="B2" s="366" t="str">
        <f>txt!B43</f>
        <v>Produzentenpreisindex</v>
      </c>
      <c r="C2" s="366"/>
      <c r="D2" s="366"/>
      <c r="E2" s="366"/>
      <c r="F2" s="366"/>
      <c r="G2" s="50"/>
      <c r="H2" s="50"/>
      <c r="I2" s="51" t="str">
        <f>txt!B176</f>
        <v>Bundesamt für Statistik BFS</v>
      </c>
    </row>
    <row r="3" spans="1:9" ht="15" customHeight="1">
      <c r="A3" s="50"/>
      <c r="B3" s="366" t="str">
        <f>txt!B44</f>
        <v>Informatikdienstleistungen</v>
      </c>
      <c r="C3" s="366"/>
      <c r="D3" s="366"/>
      <c r="E3" s="366"/>
      <c r="F3" s="366"/>
      <c r="G3" s="50"/>
      <c r="H3" s="50"/>
      <c r="I3" s="51" t="str">
        <f>txt!B177</f>
        <v>Abt. Wirtschaft, Sektion PREIS</v>
      </c>
    </row>
    <row r="4" spans="1:9" ht="13.5" customHeight="1">
      <c r="A4" s="63"/>
      <c r="B4" s="63"/>
      <c r="C4" s="63"/>
      <c r="D4" s="63"/>
      <c r="E4" s="63"/>
      <c r="F4" s="63"/>
      <c r="G4" s="63"/>
      <c r="H4" s="63"/>
      <c r="I4" s="63"/>
    </row>
    <row r="5" spans="1:9" ht="13.5" customHeight="1">
      <c r="A5" s="63" t="str">
        <f>txt!B46</f>
        <v>PMS-Nr. 0</v>
      </c>
      <c r="B5" s="63"/>
      <c r="C5" s="63"/>
      <c r="D5" s="63"/>
      <c r="E5" s="63"/>
      <c r="F5" s="63"/>
      <c r="G5" s="63"/>
      <c r="H5" s="63"/>
      <c r="I5" s="51" t="str">
        <f>txt!B45</f>
        <v/>
      </c>
    </row>
    <row r="6" spans="1:9" ht="13.5" customHeight="1">
      <c r="A6" s="63"/>
      <c r="B6" s="63"/>
      <c r="C6" s="63"/>
      <c r="D6" s="63"/>
      <c r="E6" s="63"/>
      <c r="F6" s="63"/>
      <c r="G6" s="63"/>
      <c r="H6" s="63"/>
      <c r="I6" s="63"/>
    </row>
    <row r="7" spans="1:9" ht="13.5" customHeight="1">
      <c r="A7" s="373" t="str">
        <f>txt!B47&amp;": "&amp;txt!B51</f>
        <v>Geschäftsfeld: Betrieb-, Support-, Installations- und Wartungsleistungen</v>
      </c>
      <c r="B7" s="373"/>
      <c r="C7" s="373"/>
      <c r="D7" s="63"/>
      <c r="E7" s="63"/>
      <c r="F7" s="63"/>
      <c r="G7" s="349" t="str">
        <f>" "&amp;REPT("|",INT(Steuerung!AA29*105))</f>
        <v xml:space="preserve"> </v>
      </c>
      <c r="H7" s="350"/>
      <c r="I7" s="351"/>
    </row>
    <row r="8" spans="1:9" ht="13.5" customHeight="1">
      <c r="A8" s="63" t="str">
        <f>txt!B48&amp;": "&amp;txt!B60</f>
        <v>Dienstleistungstyp: Betrieb, Support &amp; Wartung</v>
      </c>
      <c r="B8" s="63"/>
      <c r="C8" s="63"/>
      <c r="D8" s="63"/>
      <c r="E8" s="63"/>
      <c r="F8" s="63"/>
      <c r="G8" s="63"/>
      <c r="H8" s="63"/>
      <c r="I8" s="65" t="str">
        <f>IF($A$17="",txt!B243,IF($D$17="",txt!B233,IF($E$17="",txt!B234,IF(A33=1,"",""))))</f>
        <v>Bitte beschreiben Sie Dienstleistungen an zentrale Schweizer Geschäftskunden</v>
      </c>
    </row>
    <row r="9" spans="1:9" ht="13.5" customHeight="1">
      <c r="A9" s="53"/>
      <c r="B9" s="159"/>
      <c r="C9" s="159"/>
      <c r="D9" s="159"/>
      <c r="E9" s="159"/>
      <c r="F9" s="159"/>
      <c r="G9" s="159"/>
      <c r="H9" s="159"/>
      <c r="I9" s="159"/>
    </row>
    <row r="10" spans="1:9" ht="13.5" customHeight="1">
      <c r="A10" s="107" t="str">
        <f>txt!B132</f>
        <v>Zu welchem Preis bieten Sie die von Ihnen beschriebene Dienstleistung an?</v>
      </c>
      <c r="B10" s="159"/>
      <c r="C10" s="159"/>
      <c r="D10" s="159"/>
      <c r="E10" s="159"/>
      <c r="F10" s="159"/>
      <c r="G10" s="159"/>
      <c r="H10" s="159"/>
      <c r="I10" s="159"/>
    </row>
    <row r="11" spans="1:9" ht="13.5" customHeight="1">
      <c r="A11" s="53"/>
      <c r="B11" s="159"/>
      <c r="C11" s="159"/>
      <c r="D11" s="159"/>
      <c r="E11" s="159"/>
      <c r="F11" s="159"/>
      <c r="G11" s="159"/>
      <c r="H11" s="159"/>
      <c r="I11" s="159"/>
    </row>
    <row r="12" spans="1:9" ht="13.5" customHeight="1">
      <c r="A12" s="352" t="str">
        <f>txt!B133&amp;":"</f>
        <v>Beschreiben Sie eine bis drei Dienstleistungen an einen zentralen Schweizer Geschäftskunden (inkl. Kundenauftragsidentifikator, z.B. Auftragsnummer):</v>
      </c>
      <c r="B12" s="159"/>
      <c r="C12" s="159"/>
      <c r="D12" s="57" t="str">
        <f>txt!B157</f>
        <v>Kunde in der Schweiz</v>
      </c>
      <c r="E12" s="159"/>
      <c r="F12" s="50"/>
      <c r="G12" s="50"/>
      <c r="H12" s="50"/>
      <c r="I12" s="50"/>
    </row>
    <row r="13" spans="1:9" ht="13.5" customHeight="1">
      <c r="A13" s="352"/>
      <c r="B13" s="159"/>
      <c r="C13" s="159"/>
      <c r="D13" s="159"/>
      <c r="E13" s="159"/>
      <c r="F13" s="50"/>
      <c r="G13" s="50"/>
      <c r="H13" s="50"/>
      <c r="I13" s="50"/>
    </row>
    <row r="14" spans="1:9" ht="13.5" customHeight="1">
      <c r="A14" s="352"/>
      <c r="B14" s="159"/>
      <c r="C14" s="159"/>
      <c r="D14" s="159" t="str">
        <f>txt!B23</f>
        <v>März 2022</v>
      </c>
      <c r="E14" s="159" t="str">
        <f>txt!B24</f>
        <v>März 2021</v>
      </c>
      <c r="F14" s="50"/>
      <c r="G14" s="50"/>
      <c r="H14" s="50"/>
      <c r="I14" s="50"/>
    </row>
    <row r="15" spans="1:9" ht="13.5" customHeight="1">
      <c r="A15" s="352"/>
      <c r="B15" s="159"/>
      <c r="C15" s="159"/>
      <c r="D15" s="159" t="str">
        <f>txt!B166</f>
        <v>Preis</v>
      </c>
      <c r="E15" s="159" t="str">
        <f>txt!B166</f>
        <v>Preis</v>
      </c>
      <c r="F15" s="50"/>
      <c r="G15" s="50"/>
      <c r="H15" s="50"/>
      <c r="I15" s="50"/>
    </row>
    <row r="16" spans="1:9" ht="13.5" customHeight="1">
      <c r="A16" s="109"/>
      <c r="B16" s="104"/>
      <c r="C16" s="104"/>
      <c r="D16" s="104"/>
      <c r="E16" s="104"/>
      <c r="F16" s="50"/>
      <c r="G16" s="50"/>
      <c r="H16" s="50"/>
      <c r="I16" s="50"/>
    </row>
    <row r="17" spans="1:9" ht="40.5" customHeight="1">
      <c r="A17" s="276"/>
      <c r="B17" s="110"/>
      <c r="C17" s="110"/>
      <c r="D17" s="275"/>
      <c r="E17" s="277"/>
      <c r="F17" s="50"/>
      <c r="G17" s="50"/>
      <c r="H17" s="50"/>
      <c r="I17" s="50"/>
    </row>
    <row r="18" spans="1:9" ht="7.5" customHeight="1">
      <c r="A18" s="111"/>
      <c r="B18" s="111"/>
      <c r="C18" s="111"/>
      <c r="D18" s="111"/>
      <c r="E18" s="111"/>
      <c r="F18" s="80"/>
      <c r="G18" s="80"/>
      <c r="H18" s="80"/>
      <c r="I18" s="80"/>
    </row>
    <row r="19" spans="1:9" ht="40.5" customHeight="1">
      <c r="A19" s="276"/>
      <c r="B19" s="110"/>
      <c r="C19" s="110"/>
      <c r="D19" s="275"/>
      <c r="E19" s="275"/>
      <c r="F19" s="50"/>
      <c r="G19" s="50"/>
      <c r="H19" s="50"/>
      <c r="I19" s="50"/>
    </row>
    <row r="20" spans="1:9" ht="7.5" customHeight="1">
      <c r="A20" s="111"/>
      <c r="B20" s="111"/>
      <c r="C20" s="111"/>
      <c r="D20" s="111"/>
      <c r="E20" s="111"/>
      <c r="F20" s="80"/>
      <c r="G20" s="80"/>
      <c r="H20" s="80"/>
      <c r="I20" s="80"/>
    </row>
    <row r="21" spans="1:9" ht="40.5" customHeight="1">
      <c r="A21" s="276"/>
      <c r="B21" s="110"/>
      <c r="C21" s="110"/>
      <c r="D21" s="275"/>
      <c r="E21" s="275"/>
      <c r="F21" s="50"/>
      <c r="G21" s="50"/>
      <c r="H21" s="50"/>
      <c r="I21" s="50"/>
    </row>
    <row r="22" spans="1:9" ht="7.5" customHeight="1">
      <c r="A22" s="156"/>
      <c r="B22" s="156"/>
      <c r="C22" s="156"/>
      <c r="D22" s="156"/>
      <c r="E22" s="156"/>
      <c r="F22" s="156"/>
      <c r="G22" s="156"/>
      <c r="H22" s="156"/>
      <c r="I22" s="68"/>
    </row>
    <row r="23" spans="1:9" ht="40.5" customHeight="1">
      <c r="A23" s="154" t="str">
        <f>txt!B135</f>
        <v>Beispiel: Unterhalts- und Supportvertrag für ein Reisereservationssystem für Kunden X (Kundennummer: xxxx) mit 50 Benutzern, Vereinbarter Jahrespreis</v>
      </c>
      <c r="B23" s="156"/>
      <c r="C23" s="156"/>
      <c r="D23" s="348" t="str">
        <f>txt!B159</f>
        <v>Defintion "Kunde in der Schweiz": Adresse des Leistungsbezügers im Inland.</v>
      </c>
      <c r="E23" s="348"/>
      <c r="F23" s="156"/>
      <c r="G23" s="156"/>
      <c r="H23" s="156"/>
      <c r="I23" s="68"/>
    </row>
    <row r="24" spans="1:9" ht="7.5" customHeight="1">
      <c r="A24" s="156"/>
      <c r="B24" s="156"/>
      <c r="C24" s="156"/>
      <c r="D24" s="156"/>
      <c r="E24" s="156"/>
      <c r="F24" s="156"/>
      <c r="G24" s="156"/>
      <c r="H24" s="156"/>
      <c r="I24" s="68"/>
    </row>
    <row r="25" spans="1:9" ht="54" customHeight="1">
      <c r="A25" s="154" t="str">
        <f>txt!B136</f>
        <v>Beispiel: Mantelvertrag mit Grosskunde Y mit SLA. 4 Std. Reaktionszeit und 4 Std. für Reparatur/Ersatz von Server und Drucker, 8 Std. für Reparatur/den Ersatz eines Arbeitsplatzrechners (Auftragsnummer: xxx)</v>
      </c>
      <c r="B25" s="156"/>
      <c r="C25" s="156"/>
      <c r="D25" s="348" t="str">
        <f>txt!B169</f>
        <v>Die Preise sind ohne Mehrwertsteuer anzugeben.</v>
      </c>
      <c r="E25" s="348"/>
      <c r="F25" s="156"/>
      <c r="G25" s="156"/>
      <c r="H25" s="156"/>
      <c r="I25" s="68"/>
    </row>
    <row r="26" spans="1:9" ht="7.5" customHeight="1">
      <c r="A26" s="156"/>
      <c r="B26" s="156"/>
      <c r="C26" s="156"/>
      <c r="D26" s="156"/>
      <c r="E26" s="156"/>
      <c r="F26" s="156"/>
      <c r="G26" s="156"/>
      <c r="H26" s="156"/>
      <c r="I26" s="68"/>
    </row>
    <row r="27" spans="1:9" ht="67.5" customHeight="1">
      <c r="A27" s="184" t="str">
        <f>txt!B124</f>
        <v>Der Kundenidentifikator (Auftragsnummer, Kundennummer etc.) dient Ihnen ausschliesslich zur Identifizierung des Auftrags im Folgejahr. Sie können aus Sicherheitsgründen diese Nummer anonymisieren.</v>
      </c>
      <c r="B27" s="156"/>
      <c r="C27" s="156"/>
      <c r="D27" s="348" t="str">
        <f>txt!B170</f>
        <v>Bitte geben Sie an, zu welchem Preis Sie die identische Dienstleistung dem gleichen Kunden im Vorjahr (im März 2021) angeboten haben/hätten?</v>
      </c>
      <c r="E27" s="348"/>
      <c r="F27" s="156"/>
      <c r="G27" s="156"/>
      <c r="H27" s="156"/>
      <c r="I27" s="68"/>
    </row>
    <row r="28" spans="1:9" s="50" customFormat="1" ht="6.95" customHeight="1">
      <c r="A28" s="187"/>
      <c r="B28" s="187"/>
      <c r="C28" s="187"/>
      <c r="D28" s="187"/>
      <c r="E28" s="187"/>
      <c r="F28" s="187"/>
      <c r="G28" s="187"/>
      <c r="H28" s="187"/>
      <c r="I28" s="68"/>
    </row>
    <row r="29" spans="1:9" ht="20.100000000000001" customHeight="1">
      <c r="A29" s="186" t="str">
        <f>txt!B125</f>
        <v>Bitte geben Sie den Preis bei Vertragsabschluss an.</v>
      </c>
      <c r="B29" s="187"/>
      <c r="C29" s="187"/>
      <c r="D29" s="187"/>
      <c r="E29" s="187"/>
      <c r="F29" s="187"/>
      <c r="G29" s="187"/>
      <c r="H29" s="187"/>
      <c r="I29" s="68"/>
    </row>
    <row r="30" spans="1:9" ht="13.5" customHeight="1">
      <c r="A30" s="69" t="str">
        <f>txt!B173&amp;":"</f>
        <v>Bemerkungen:</v>
      </c>
      <c r="B30" s="156"/>
      <c r="C30" s="156"/>
      <c r="D30" s="156"/>
      <c r="E30" s="156"/>
      <c r="F30" s="156"/>
      <c r="G30" s="156"/>
      <c r="H30" s="156"/>
      <c r="I30" s="68"/>
    </row>
    <row r="31" spans="1:9" ht="54" customHeight="1">
      <c r="A31" s="344"/>
      <c r="B31" s="345"/>
      <c r="C31" s="345"/>
      <c r="D31" s="345"/>
      <c r="E31" s="345"/>
      <c r="F31" s="345"/>
      <c r="G31" s="345"/>
      <c r="H31" s="345"/>
      <c r="I31" s="346"/>
    </row>
    <row r="32" spans="1:9" ht="13.5" customHeight="1">
      <c r="A32" s="50"/>
      <c r="B32" s="50"/>
      <c r="C32" s="50"/>
      <c r="D32" s="50"/>
      <c r="E32" s="50"/>
      <c r="F32" s="50"/>
      <c r="G32" s="50"/>
      <c r="H32" s="50"/>
      <c r="I32" s="50"/>
    </row>
    <row r="33" spans="1:9" ht="13.5" customHeight="1">
      <c r="A33" s="78">
        <f>Steuerung!E29</f>
        <v>0</v>
      </c>
      <c r="B33" s="50"/>
      <c r="C33" s="268" t="str">
        <f>txt!$B$221</f>
        <v>ZURÜCK</v>
      </c>
      <c r="D33" s="50"/>
      <c r="E33" s="269" t="str">
        <f>IF($A$17="","",IF($D$17="","",IF($E$17="","",IF(A33=1,txt!$B$222,""))))</f>
        <v/>
      </c>
      <c r="F33" s="50"/>
      <c r="G33" s="50"/>
      <c r="H33" s="50"/>
      <c r="I33" s="50"/>
    </row>
    <row r="34" spans="1:9" ht="13.5" customHeight="1">
      <c r="A34" s="78"/>
      <c r="B34" s="50"/>
      <c r="C34" s="62"/>
      <c r="D34" s="50"/>
      <c r="E34" s="62"/>
      <c r="F34" s="50"/>
      <c r="G34" s="50"/>
      <c r="H34" s="50"/>
      <c r="I34" s="50"/>
    </row>
    <row r="35" spans="1:9" ht="13.5" customHeight="1">
      <c r="A35" s="78">
        <f>Steuerung!H$29</f>
        <v>0</v>
      </c>
      <c r="B35" s="50"/>
      <c r="C35" s="50"/>
      <c r="D35" s="50"/>
      <c r="E35" s="269" t="str">
        <f>IF($A$17="","",IF($D$17="","",IF($E$17="","",IF(AND(A35=1,A33=0),txt!$B$222,""))))</f>
        <v/>
      </c>
      <c r="F35" s="50"/>
      <c r="G35" s="50"/>
      <c r="H35" s="50"/>
      <c r="I35" s="50"/>
    </row>
    <row r="36" spans="1:9" ht="13.5" customHeight="1">
      <c r="A36" s="78"/>
      <c r="B36" s="50"/>
      <c r="C36" s="50"/>
      <c r="D36" s="50"/>
      <c r="E36" s="62"/>
      <c r="F36" s="50"/>
      <c r="G36" s="50"/>
      <c r="H36" s="50"/>
      <c r="I36" s="50"/>
    </row>
    <row r="37" spans="1:9" ht="13.5" customHeight="1">
      <c r="A37" s="78">
        <f>Steuerung!J$29</f>
        <v>0</v>
      </c>
      <c r="B37" s="50"/>
      <c r="C37" s="50"/>
      <c r="D37" s="50"/>
      <c r="E37" s="269" t="str">
        <f>IF($A$17="","",IF($D$17="","",IF($E$17="","",IF(AND(A37=1,A35=0,A33=0),txt!$B$222,""))))</f>
        <v/>
      </c>
      <c r="F37" s="50"/>
      <c r="G37" s="50"/>
      <c r="H37" s="50"/>
      <c r="I37" s="50"/>
    </row>
    <row r="38" spans="1:9" ht="13.5" customHeight="1">
      <c r="A38" s="78"/>
      <c r="B38" s="50"/>
      <c r="C38" s="50"/>
      <c r="D38" s="50"/>
      <c r="E38" s="62"/>
      <c r="F38" s="50"/>
      <c r="G38" s="50"/>
      <c r="H38" s="50"/>
      <c r="I38" s="50"/>
    </row>
    <row r="39" spans="1:9" ht="13.5" customHeight="1">
      <c r="A39" s="78">
        <f>Steuerung!L$29</f>
        <v>1</v>
      </c>
      <c r="B39" s="50"/>
      <c r="C39" s="50"/>
      <c r="D39" s="50"/>
      <c r="E39" s="274" t="str">
        <f>IF($A$17="","",IF($D$17="","",IF($E$17="","",IF(AND(A39=1,A37=0,A35=0,A33=0),txt!$B$222,""))))</f>
        <v/>
      </c>
      <c r="F39" s="50"/>
      <c r="G39" s="50"/>
      <c r="H39" s="50"/>
      <c r="I39" s="50"/>
    </row>
    <row r="40" spans="1:9" s="50" customFormat="1">
      <c r="A40" s="78"/>
      <c r="E40" s="62"/>
    </row>
    <row r="41" spans="1:9" s="50" customFormat="1">
      <c r="E41" s="62"/>
    </row>
    <row r="42" spans="1:9" s="50" customFormat="1"/>
    <row r="43" spans="1:9" s="50" customFormat="1"/>
    <row r="44" spans="1:9" s="50" customFormat="1"/>
    <row r="45" spans="1:9" s="50" customFormat="1"/>
    <row r="46" spans="1:9" s="50" customFormat="1" ht="12.95" customHeight="1"/>
    <row r="47" spans="1:9" s="50" customFormat="1"/>
    <row r="48" spans="1:9"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sheetData>
  <sheetProtection algorithmName="SHA-512" hashValue="dFbCDuDlZSVhyEFefr/FDH2jxo+djYUqxEuKKIgQrfYz2PMg9GfJ7YyxZjIPClYEEpvZv0rXF29bqKIEFuauCA==" saltValue="N6N2xKolPbrttzRoCI5aQg==" spinCount="100000" sheet="1" objects="1" scenarios="1"/>
  <mergeCells count="10">
    <mergeCell ref="B1:F1"/>
    <mergeCell ref="B2:F2"/>
    <mergeCell ref="B3:F3"/>
    <mergeCell ref="A31:I31"/>
    <mergeCell ref="A7:C7"/>
    <mergeCell ref="D27:E27"/>
    <mergeCell ref="A12:A15"/>
    <mergeCell ref="D23:E23"/>
    <mergeCell ref="D25:E25"/>
    <mergeCell ref="G7:I7"/>
  </mergeCells>
  <dataValidations count="5">
    <dataValidation type="textLength" allowBlank="1" showInputMessage="1" showErrorMessage="1" error="Bitte verwenden Sie nicht mehr als 199 Zeichen / S.v.p. utilisez 199 caractères au maximum" sqref="A17 A19 A21">
      <formula1>0</formula1>
      <formula2>199</formula2>
    </dataValidation>
    <dataValidation type="custom" errorStyle="warning" allowBlank="1" showInputMessage="1" showErrorMessage="1" errorTitle="Abweichung / Déviation" error="Die Preisangabe unterscheidet sich um mehr als 10% zum Vorjahr. Handelt es sich um einen identischen Dienstleistungsumfang?_x000a__x000a_La valeur de l'année précédente dévie de plus de 10%. L'étendue des prestations est-elle identique?" sqref="D17">
      <formula1>(ABS(D17/E17)-1)&lt;=0.1</formula1>
    </dataValidation>
    <dataValidation type="custom" errorStyle="warning" allowBlank="1" showInputMessage="1" showErrorMessage="1" errorTitle="Abweichung / Déviation" error="Die Preisangabe unterscheidet sich um mehr als 10% zum Vorjahr. Handelt es sich um einen identischen Dienstleistungsumfang?_x000a__x000a_La valeur de l'année précédente dévie de plus de 10%. L'étendue des prestations est-elle identique?" sqref="D19">
      <formula1>(ABS(D19/E19)-1)&lt;=0.1</formula1>
    </dataValidation>
    <dataValidation type="custom" errorStyle="warning" allowBlank="1" showInputMessage="1" showErrorMessage="1" errorTitle="Abweichung / Déviation" error="Die Preisangabe unterscheidet sich um mehr als 10% zum Vorjahr. Handelt es sich um einen identischen Dienstleistungsumfang?_x000a__x000a_La valeur de l'année précédente dévie de plus de 10%. L'étendue des prestations est-elle identique?" sqref="D21">
      <formula1>(ABS(D21/E21)-1)&lt;=0.1</formula1>
    </dataValidation>
    <dataValidation type="custom" errorStyle="warning" allowBlank="1" showInputMessage="1" showErrorMessage="1" errorTitle="Abweichung / Déviation" error="Die Preisangabe unterscheidet sich um mehr als 10% zum Folgejahr. Handelt es sich um einen identischen Dienstleistungsumfang?_x000a__x000a_La valeur de l'année suivante dévie de plus de 10%. L'étendue des prestations est-elle identique?" sqref="E17 E19 E21">
      <formula1>(ABS(D17/E17)-1)&lt;=0.1</formula1>
    </dataValidation>
  </dataValidations>
  <hyperlinks>
    <hyperlink ref="E33" location="'31cEX'!A1" display="'31cEX'!A1"/>
    <hyperlink ref="E35" location="'32t'!A1" display="'32t'!A1"/>
    <hyperlink ref="E37" location="'4'!A1" display="'4'!A1"/>
    <hyperlink ref="E39" location="'5'!A1" display="'5'!A1"/>
    <hyperlink ref="C33" location="'30'!$A$1" display="'30'!$A$1"/>
  </hyperlinks>
  <pageMargins left="0.74803149606299213" right="0.74803149606299213" top="0.39370078740157483" bottom="0.19685039370078741" header="0.51181102362204722" footer="0.51181102362204722"/>
  <pageSetup paperSize="9" scale="88" orientation="landscape"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cellIs" priority="5" operator="equal" id="{C62D5F90-A0E2-2E4B-B5B1-94BDDFA37F93}">
            <xm:f>txt!$B$222</xm:f>
            <x14:dxf>
              <font>
                <u/>
                <color rgb="FF0000FF"/>
              </font>
              <fill>
                <patternFill patternType="solid">
                  <fgColor indexed="64"/>
                  <bgColor rgb="FFFFFF00"/>
                </patternFill>
              </fill>
            </x14:dxf>
          </x14:cfRule>
          <xm:sqref>E34 E36 E38 E40:E41</xm:sqref>
        </x14:conditionalFormatting>
        <x14:conditionalFormatting xmlns:xm="http://schemas.microsoft.com/office/excel/2006/main">
          <x14:cfRule type="cellIs" priority="4" operator="equal" id="{AB8DC02F-4BE3-4B4C-A078-C11D9FC2BBB3}">
            <xm:f>txt!$B$222</xm:f>
            <x14:dxf>
              <font>
                <u/>
                <color rgb="FF0000FF"/>
              </font>
              <fill>
                <patternFill patternType="solid">
                  <fgColor indexed="64"/>
                  <bgColor rgb="FFFFFF00"/>
                </patternFill>
              </fill>
            </x14:dxf>
          </x14:cfRule>
          <xm:sqref>E33</xm:sqref>
        </x14:conditionalFormatting>
        <x14:conditionalFormatting xmlns:xm="http://schemas.microsoft.com/office/excel/2006/main">
          <x14:cfRule type="cellIs" priority="3" operator="equal" id="{B8B648C5-F457-41A5-9006-941D2D37B900}">
            <xm:f>txt!$B$222</xm:f>
            <x14:dxf>
              <font>
                <u/>
                <color rgb="FF0000FF"/>
              </font>
              <fill>
                <patternFill patternType="solid">
                  <fgColor indexed="64"/>
                  <bgColor rgb="FFFFFF00"/>
                </patternFill>
              </fill>
            </x14:dxf>
          </x14:cfRule>
          <xm:sqref>E35</xm:sqref>
        </x14:conditionalFormatting>
        <x14:conditionalFormatting xmlns:xm="http://schemas.microsoft.com/office/excel/2006/main">
          <x14:cfRule type="cellIs" priority="2" operator="equal" id="{DABE1F03-1E2D-435A-9F40-02699088B33D}">
            <xm:f>txt!$B$222</xm:f>
            <x14:dxf>
              <font>
                <u/>
                <color rgb="FF0000FF"/>
              </font>
              <fill>
                <patternFill patternType="solid">
                  <fgColor indexed="64"/>
                  <bgColor rgb="FFFFFF00"/>
                </patternFill>
              </fill>
            </x14:dxf>
          </x14:cfRule>
          <xm:sqref>E37</xm:sqref>
        </x14:conditionalFormatting>
        <x14:conditionalFormatting xmlns:xm="http://schemas.microsoft.com/office/excel/2006/main">
          <x14:cfRule type="cellIs" priority="1" operator="equal" id="{2A497383-F998-4539-B8A0-C44B9DFC0EE4}">
            <xm:f>txt!$B$222</xm:f>
            <x14:dxf>
              <font>
                <u/>
                <color rgb="FF0000FF"/>
              </font>
              <fill>
                <patternFill patternType="solid">
                  <fgColor indexed="64"/>
                  <bgColor rgb="FFFFFF00"/>
                </patternFill>
              </fill>
            </x14:dxf>
          </x14:cfRule>
          <xm:sqref>E39</xm:sqref>
        </x14:conditionalFormatting>
      </x14:conditionalFormattings>
    </ex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tabColor theme="8" tint="0.39997558519241921"/>
    <pageSetUpPr fitToPage="1"/>
  </sheetPr>
  <dimension ref="A1:AQ146"/>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12.6640625" style="133" customWidth="1"/>
    <col min="5" max="5" width="12.6640625" style="79" customWidth="1"/>
    <col min="6" max="6" width="2.6640625" style="79" customWidth="1"/>
    <col min="7" max="7" width="8.6640625" style="79" customWidth="1"/>
    <col min="8" max="9" width="12.6640625" style="79" customWidth="1"/>
    <col min="10" max="36" width="10.6640625" style="50"/>
    <col min="37" max="16384" width="10.6640625" style="79"/>
  </cols>
  <sheetData>
    <row r="1" spans="1:9" ht="15" customHeight="1">
      <c r="A1" s="50"/>
      <c r="B1" s="366" t="str">
        <f>txt!B42</f>
        <v>Preiserhebung</v>
      </c>
      <c r="C1" s="366"/>
      <c r="D1" s="366"/>
      <c r="E1" s="366"/>
      <c r="F1" s="366"/>
      <c r="G1" s="50"/>
      <c r="H1" s="50"/>
      <c r="I1" s="51" t="str">
        <f>txt!B175</f>
        <v>Eidg. Departement des Innern</v>
      </c>
    </row>
    <row r="2" spans="1:9" ht="15" customHeight="1">
      <c r="A2" s="50"/>
      <c r="B2" s="366" t="str">
        <f>txt!B43</f>
        <v>Produzentenpreisindex</v>
      </c>
      <c r="C2" s="366"/>
      <c r="D2" s="366"/>
      <c r="E2" s="366"/>
      <c r="F2" s="366"/>
      <c r="G2" s="50"/>
      <c r="H2" s="50"/>
      <c r="I2" s="51" t="str">
        <f>txt!B176</f>
        <v>Bundesamt für Statistik BFS</v>
      </c>
    </row>
    <row r="3" spans="1:9" ht="15" customHeight="1">
      <c r="A3" s="50"/>
      <c r="B3" s="366" t="str">
        <f>txt!B44</f>
        <v>Informatikdienstleistungen</v>
      </c>
      <c r="C3" s="366"/>
      <c r="D3" s="366"/>
      <c r="E3" s="366"/>
      <c r="F3" s="366"/>
      <c r="G3" s="50"/>
      <c r="H3" s="50"/>
      <c r="I3" s="51" t="str">
        <f>txt!B177</f>
        <v>Abt. Wirtschaft, Sektion PREIS</v>
      </c>
    </row>
    <row r="4" spans="1:9" ht="13.5" customHeight="1">
      <c r="A4" s="63"/>
      <c r="B4" s="63"/>
      <c r="C4" s="63"/>
      <c r="D4" s="63"/>
      <c r="E4" s="63"/>
      <c r="F4" s="63"/>
      <c r="G4" s="63"/>
      <c r="H4" s="63"/>
      <c r="I4" s="63"/>
    </row>
    <row r="5" spans="1:9" ht="13.5" customHeight="1">
      <c r="A5" s="63" t="str">
        <f>txt!B46</f>
        <v>PMS-Nr. 0</v>
      </c>
      <c r="B5" s="63"/>
      <c r="C5" s="63"/>
      <c r="D5" s="63"/>
      <c r="E5" s="63"/>
      <c r="F5" s="63"/>
      <c r="G5" s="63"/>
      <c r="H5" s="63"/>
      <c r="I5" s="51" t="str">
        <f>txt!B45</f>
        <v/>
      </c>
    </row>
    <row r="6" spans="1:9" ht="13.5" customHeight="1">
      <c r="A6" s="63"/>
      <c r="B6" s="63"/>
      <c r="C6" s="63"/>
      <c r="D6" s="63"/>
      <c r="E6" s="63"/>
      <c r="F6" s="63"/>
      <c r="G6" s="63"/>
      <c r="H6" s="63"/>
      <c r="I6" s="63"/>
    </row>
    <row r="7" spans="1:9" ht="13.5" customHeight="1">
      <c r="A7" s="373" t="str">
        <f>txt!B47&amp;": "&amp;txt!B51</f>
        <v>Geschäftsfeld: Betrieb-, Support-, Installations- und Wartungsleistungen</v>
      </c>
      <c r="B7" s="373"/>
      <c r="C7" s="373"/>
      <c r="D7" s="63"/>
      <c r="E7" s="63"/>
      <c r="F7" s="63"/>
      <c r="G7" s="349" t="str">
        <f>" "&amp;REPT("|",INT(Steuerung!AF29*105))</f>
        <v xml:space="preserve"> </v>
      </c>
      <c r="H7" s="350"/>
      <c r="I7" s="351"/>
    </row>
    <row r="8" spans="1:9" ht="13.5" customHeight="1">
      <c r="A8" s="63" t="str">
        <f>txt!B48&amp;": "&amp;txt!B60</f>
        <v>Dienstleistungstyp: Betrieb, Support &amp; Wartung</v>
      </c>
      <c r="B8" s="63"/>
      <c r="C8" s="63"/>
      <c r="D8" s="63"/>
      <c r="E8" s="63"/>
      <c r="F8" s="63"/>
      <c r="G8" s="63"/>
      <c r="H8" s="63"/>
      <c r="I8" s="65" t="str">
        <f>IF($A$17="",txt!B244,IF($G$17="",txt!B235,IF($H$17="",txt!B233,IF($I$17="",txt!B234,IF(A33=1,"","")))))</f>
        <v>Bitte beschreiben Sie Dienstleistungen an zentrale ausländische Geschäftskunden</v>
      </c>
    </row>
    <row r="9" spans="1:9" ht="13.5" customHeight="1">
      <c r="A9" s="53"/>
      <c r="B9" s="159"/>
      <c r="C9" s="159"/>
      <c r="D9" s="159"/>
      <c r="E9" s="159"/>
      <c r="F9" s="159"/>
      <c r="G9" s="159"/>
      <c r="H9" s="159"/>
      <c r="I9" s="159"/>
    </row>
    <row r="10" spans="1:9" ht="13.5" customHeight="1">
      <c r="A10" s="107" t="str">
        <f>txt!B132</f>
        <v>Zu welchem Preis bieten Sie die von Ihnen beschriebene Dienstleistung an?</v>
      </c>
      <c r="B10" s="159"/>
      <c r="C10" s="159"/>
      <c r="D10" s="159"/>
      <c r="E10" s="159"/>
      <c r="F10" s="159"/>
      <c r="G10" s="159"/>
      <c r="H10" s="159"/>
      <c r="I10" s="159"/>
    </row>
    <row r="11" spans="1:9" ht="13.5" customHeight="1">
      <c r="A11" s="53"/>
      <c r="B11" s="159"/>
      <c r="C11" s="159"/>
      <c r="D11" s="159"/>
      <c r="E11" s="159"/>
      <c r="F11" s="159"/>
      <c r="G11" s="159"/>
      <c r="H11" s="159"/>
      <c r="I11" s="159"/>
    </row>
    <row r="12" spans="1:9" ht="13.5" customHeight="1">
      <c r="A12" s="352" t="str">
        <f>txt!B134&amp;":"</f>
        <v>Beschreiben Sie eine bis drei Dienstleistungen an einen zentralen ausländischen Geschäftskunden (inkl. Kundenauftragsidentifikator, z.B. Auftragsnummer):</v>
      </c>
      <c r="B12" s="159"/>
      <c r="C12" s="159"/>
      <c r="D12" s="57"/>
      <c r="E12" s="159"/>
      <c r="F12" s="50"/>
      <c r="G12" s="57" t="str">
        <f>txt!B158</f>
        <v>Kunde im Ausland</v>
      </c>
      <c r="H12" s="50"/>
      <c r="I12" s="50"/>
    </row>
    <row r="13" spans="1:9" ht="13.5" customHeight="1">
      <c r="A13" s="352"/>
      <c r="B13" s="159"/>
      <c r="C13" s="159"/>
      <c r="D13" s="159"/>
      <c r="E13" s="159"/>
      <c r="F13" s="50"/>
      <c r="G13" s="50"/>
      <c r="H13" s="50"/>
      <c r="I13" s="50"/>
    </row>
    <row r="14" spans="1:9" ht="13.5" customHeight="1">
      <c r="A14" s="352"/>
      <c r="B14" s="159"/>
      <c r="C14" s="159"/>
      <c r="D14" s="50"/>
      <c r="E14" s="50"/>
      <c r="F14" s="50"/>
      <c r="G14" s="50"/>
      <c r="H14" s="159" t="str">
        <f>txt!B23</f>
        <v>März 2022</v>
      </c>
      <c r="I14" s="159" t="str">
        <f>txt!B24</f>
        <v>März 2021</v>
      </c>
    </row>
    <row r="15" spans="1:9" ht="13.5" customHeight="1">
      <c r="A15" s="352"/>
      <c r="B15" s="159"/>
      <c r="C15" s="159"/>
      <c r="D15" s="50"/>
      <c r="E15" s="50"/>
      <c r="F15" s="50"/>
      <c r="G15" s="57" t="str">
        <f>txt!$B$161</f>
        <v>Währung</v>
      </c>
      <c r="H15" s="159" t="str">
        <f>txt!B166</f>
        <v>Preis</v>
      </c>
      <c r="I15" s="159" t="str">
        <f>txt!B166</f>
        <v>Preis</v>
      </c>
    </row>
    <row r="16" spans="1:9" ht="13.5" customHeight="1">
      <c r="A16" s="53"/>
      <c r="B16" s="159"/>
      <c r="C16" s="159"/>
      <c r="D16" s="159"/>
      <c r="E16" s="159"/>
      <c r="F16" s="50"/>
      <c r="G16" s="50"/>
      <c r="H16" s="50"/>
      <c r="I16" s="50"/>
    </row>
    <row r="17" spans="1:43" ht="40.5" customHeight="1">
      <c r="A17" s="278"/>
      <c r="B17" s="110"/>
      <c r="C17" s="110"/>
      <c r="D17" s="110"/>
      <c r="E17" s="110"/>
      <c r="F17" s="110"/>
      <c r="G17" s="279"/>
      <c r="H17" s="280"/>
      <c r="I17" s="280"/>
    </row>
    <row r="18" spans="1:43" ht="7.5" customHeight="1">
      <c r="A18" s="156"/>
      <c r="B18" s="111"/>
      <c r="C18" s="111"/>
      <c r="D18" s="111"/>
      <c r="E18" s="111"/>
      <c r="F18" s="111"/>
      <c r="G18" s="113"/>
      <c r="H18" s="114"/>
      <c r="I18" s="114"/>
    </row>
    <row r="19" spans="1:43" ht="40.5" customHeight="1">
      <c r="A19" s="278"/>
      <c r="B19" s="111"/>
      <c r="C19" s="111"/>
      <c r="D19" s="111"/>
      <c r="E19" s="111"/>
      <c r="F19" s="111"/>
      <c r="G19" s="279"/>
      <c r="H19" s="280"/>
      <c r="I19" s="280"/>
    </row>
    <row r="20" spans="1:43" ht="7.5" customHeight="1">
      <c r="A20" s="156"/>
      <c r="B20" s="111"/>
      <c r="C20" s="111"/>
      <c r="D20" s="111"/>
      <c r="E20" s="111"/>
      <c r="F20" s="111"/>
      <c r="G20" s="113"/>
      <c r="H20" s="114"/>
      <c r="I20" s="114"/>
    </row>
    <row r="21" spans="1:43" ht="40.5" customHeight="1">
      <c r="A21" s="278"/>
      <c r="B21" s="111"/>
      <c r="C21" s="111"/>
      <c r="D21" s="111"/>
      <c r="E21" s="111"/>
      <c r="F21" s="111"/>
      <c r="G21" s="279"/>
      <c r="H21" s="280"/>
      <c r="I21" s="280"/>
    </row>
    <row r="22" spans="1:43" ht="7.5" customHeight="1">
      <c r="A22" s="111"/>
      <c r="B22" s="111"/>
      <c r="C22" s="111"/>
      <c r="D22" s="111"/>
      <c r="E22" s="111"/>
      <c r="F22" s="111"/>
      <c r="G22" s="80"/>
      <c r="H22" s="80"/>
      <c r="I22" s="80"/>
    </row>
    <row r="23" spans="1:43" ht="40.5" customHeight="1">
      <c r="A23" s="154" t="str">
        <f>txt!B135</f>
        <v>Beispiel: Unterhalts- und Supportvertrag für ein Reisereservationssystem für Kunden X (Kundennummer: xxxx) mit 50 Benutzern, Vereinbarter Jahrespreis</v>
      </c>
      <c r="B23" s="111"/>
      <c r="C23" s="111"/>
      <c r="D23" s="111"/>
      <c r="E23" s="111"/>
      <c r="F23" s="111"/>
      <c r="G23" s="348" t="str">
        <f>txt!B160</f>
        <v>Definition "Kunde im Ausland": Adresse des Leistungsbezügers im Ausland.</v>
      </c>
      <c r="H23" s="348"/>
      <c r="I23" s="348"/>
    </row>
    <row r="24" spans="1:43" ht="7.5" customHeight="1">
      <c r="A24" s="111"/>
      <c r="B24" s="111"/>
      <c r="C24" s="111"/>
      <c r="D24" s="111"/>
      <c r="E24" s="111"/>
      <c r="F24" s="111"/>
      <c r="G24" s="80"/>
      <c r="H24" s="80"/>
      <c r="I24" s="80"/>
    </row>
    <row r="25" spans="1:43" ht="54" customHeight="1">
      <c r="A25" s="154" t="str">
        <f>txt!B136</f>
        <v>Beispiel: Mantelvertrag mit Grosskunde Y mit SLA. 4 Std. Reaktionszeit und 4 Std. für Reparatur/Ersatz von Server und Drucker, 8 Std. für Reparatur/den Ersatz eines Arbeitsplatzrechners (Auftragsnummer: xxx)</v>
      </c>
      <c r="B25" s="111"/>
      <c r="C25" s="111"/>
      <c r="D25" s="111"/>
      <c r="E25" s="111"/>
      <c r="F25" s="111"/>
      <c r="G25" s="348" t="str">
        <f>txt!B169</f>
        <v>Die Preise sind ohne Mehrwertsteuer anzugeben.</v>
      </c>
      <c r="H25" s="348"/>
      <c r="I25" s="348"/>
    </row>
    <row r="26" spans="1:43" ht="7.5" customHeight="1">
      <c r="A26" s="111"/>
      <c r="B26" s="111"/>
      <c r="C26" s="111"/>
      <c r="D26" s="111"/>
      <c r="E26" s="111"/>
      <c r="F26" s="111"/>
      <c r="G26" s="80"/>
      <c r="H26" s="80"/>
      <c r="I26" s="80"/>
    </row>
    <row r="27" spans="1:43" ht="54" customHeight="1">
      <c r="A27" s="184" t="str">
        <f>txt!B124</f>
        <v>Der Kundenidentifikator (Auftragsnummer, Kundennummer etc.) dient Ihnen ausschliesslich zur Identifizierung des Auftrags im Folgejahr. Sie können aus Sicherheitsgründen diese Nummer anonymisieren.</v>
      </c>
      <c r="B27" s="111"/>
      <c r="C27" s="111"/>
      <c r="D27" s="111"/>
      <c r="E27" s="111"/>
      <c r="F27" s="111"/>
      <c r="G27" s="348" t="str">
        <f>txt!B170</f>
        <v>Bitte geben Sie an, zu welchem Preis Sie die identische Dienstleistung dem gleichen Kunden im Vorjahr (im März 2021) angeboten haben/hätten?</v>
      </c>
      <c r="H27" s="348"/>
      <c r="I27" s="348"/>
    </row>
    <row r="28" spans="1:43" s="50" customFormat="1" ht="6.95" customHeight="1">
      <c r="A28" s="187"/>
      <c r="B28" s="187"/>
      <c r="C28" s="187"/>
      <c r="D28" s="187"/>
      <c r="E28" s="187"/>
      <c r="F28" s="187"/>
      <c r="G28" s="187"/>
      <c r="H28" s="187"/>
      <c r="I28" s="68"/>
    </row>
    <row r="29" spans="1:43" ht="20.100000000000001" customHeight="1">
      <c r="A29" s="186" t="str">
        <f>txt!B125</f>
        <v>Bitte geben Sie den Preis bei Vertragsabschluss an.</v>
      </c>
      <c r="B29" s="187"/>
      <c r="C29" s="187"/>
      <c r="D29" s="111"/>
      <c r="E29" s="111"/>
      <c r="F29" s="187"/>
      <c r="G29" s="187"/>
      <c r="H29" s="187"/>
      <c r="I29" s="68"/>
      <c r="AK29" s="50"/>
      <c r="AL29" s="50"/>
      <c r="AM29" s="50"/>
      <c r="AN29" s="50"/>
      <c r="AO29" s="50"/>
      <c r="AP29" s="50"/>
      <c r="AQ29" s="50"/>
    </row>
    <row r="30" spans="1:43" ht="13.5" customHeight="1">
      <c r="A30" s="69" t="str">
        <f>txt!B173&amp;":"</f>
        <v>Bemerkungen:</v>
      </c>
      <c r="B30" s="111"/>
      <c r="C30" s="111"/>
      <c r="D30" s="111"/>
      <c r="E30" s="111"/>
      <c r="F30" s="111"/>
      <c r="G30" s="80"/>
      <c r="H30" s="80"/>
      <c r="I30" s="80"/>
    </row>
    <row r="31" spans="1:43" ht="54" customHeight="1">
      <c r="A31" s="344"/>
      <c r="B31" s="345"/>
      <c r="C31" s="345"/>
      <c r="D31" s="345"/>
      <c r="E31" s="345"/>
      <c r="F31" s="345"/>
      <c r="G31" s="345"/>
      <c r="H31" s="345"/>
      <c r="I31" s="346"/>
    </row>
    <row r="32" spans="1:43" ht="13.5" customHeight="1">
      <c r="A32" s="149"/>
      <c r="B32" s="57"/>
      <c r="C32" s="111"/>
      <c r="D32" s="176"/>
      <c r="E32" s="176"/>
      <c r="F32" s="50"/>
      <c r="G32" s="50"/>
      <c r="H32" s="50"/>
      <c r="I32" s="50"/>
    </row>
    <row r="33" spans="1:9" ht="13.5" customHeight="1">
      <c r="A33" s="78">
        <f>Steuerung!H$30</f>
        <v>0</v>
      </c>
      <c r="B33" s="50"/>
      <c r="C33" s="268" t="str">
        <f>txt!$B$221</f>
        <v>ZURÜCK</v>
      </c>
      <c r="D33" s="50"/>
      <c r="E33" s="269" t="str">
        <f>IF($A$17="","",IF($G$17="","",IF($H$17="","",IF($I$17="","",IF(A33=1,txt!$B$222,"")))))</f>
        <v/>
      </c>
      <c r="F33" s="50"/>
      <c r="G33" s="50"/>
      <c r="H33" s="50"/>
      <c r="I33" s="50"/>
    </row>
    <row r="34" spans="1:9" ht="13.5" customHeight="1">
      <c r="A34" s="78"/>
      <c r="B34" s="50"/>
      <c r="C34" s="62"/>
      <c r="D34" s="50"/>
      <c r="E34" s="62"/>
      <c r="F34" s="50"/>
      <c r="G34" s="50"/>
      <c r="H34" s="50"/>
      <c r="I34" s="50"/>
    </row>
    <row r="35" spans="1:9" ht="13.5" customHeight="1">
      <c r="A35" s="78">
        <f>Steuerung!J$30</f>
        <v>0</v>
      </c>
      <c r="B35" s="50"/>
      <c r="C35" s="50"/>
      <c r="D35" s="50"/>
      <c r="E35" s="269" t="str">
        <f>IF($A$17="","",IF($G$17="","",IF($H$17="","",IF($I$17="","",IF(AND(A35=1,A33=0),txt!$B$222,"")))))</f>
        <v/>
      </c>
      <c r="F35" s="50"/>
      <c r="G35" s="50"/>
      <c r="H35" s="50"/>
      <c r="I35" s="50"/>
    </row>
    <row r="36" spans="1:9" ht="13.5" customHeight="1">
      <c r="A36" s="78"/>
      <c r="B36" s="50"/>
      <c r="C36" s="50"/>
      <c r="D36" s="50"/>
      <c r="E36" s="62"/>
      <c r="F36" s="50"/>
      <c r="G36" s="50"/>
      <c r="H36" s="50"/>
      <c r="I36" s="50"/>
    </row>
    <row r="37" spans="1:9" ht="13.5" customHeight="1">
      <c r="A37" s="78">
        <f>Steuerung!L$30</f>
        <v>1</v>
      </c>
      <c r="B37" s="50"/>
      <c r="C37" s="50"/>
      <c r="D37" s="50"/>
      <c r="E37" s="274" t="str">
        <f>IF($A$17="","",IF($G$17="","",IF($H$17="","",IF($I$17="","",IF(AND(A37=1,A35=0,A33=0),txt!$B$222,"")))))</f>
        <v/>
      </c>
      <c r="F37" s="50"/>
      <c r="G37" s="50"/>
      <c r="H37" s="50"/>
      <c r="I37" s="50"/>
    </row>
    <row r="38" spans="1:9" ht="13.5" customHeight="1">
      <c r="A38" s="50"/>
      <c r="B38" s="50"/>
      <c r="C38" s="50"/>
      <c r="D38" s="50"/>
      <c r="E38" s="62"/>
      <c r="F38" s="50"/>
      <c r="G38" s="50"/>
      <c r="H38" s="50"/>
      <c r="I38" s="50"/>
    </row>
    <row r="39" spans="1:9" ht="13.5" customHeight="1">
      <c r="A39" s="50"/>
      <c r="B39" s="50"/>
      <c r="C39" s="50"/>
      <c r="D39" s="50"/>
      <c r="E39" s="62"/>
      <c r="F39" s="50"/>
      <c r="G39" s="50"/>
      <c r="H39" s="50"/>
      <c r="I39" s="50"/>
    </row>
    <row r="40" spans="1:9">
      <c r="A40" s="50"/>
      <c r="B40" s="50"/>
      <c r="C40" s="50"/>
      <c r="D40" s="50"/>
      <c r="E40" s="62"/>
      <c r="F40" s="50"/>
      <c r="G40" s="50"/>
      <c r="H40" s="50"/>
      <c r="I40" s="50"/>
    </row>
    <row r="41" spans="1:9">
      <c r="A41" s="50"/>
      <c r="B41" s="50"/>
      <c r="C41" s="50"/>
      <c r="D41" s="50"/>
      <c r="E41" s="62"/>
      <c r="F41" s="50"/>
      <c r="G41" s="50"/>
      <c r="H41" s="50"/>
      <c r="I41" s="50"/>
    </row>
    <row r="42" spans="1:9">
      <c r="A42" s="50"/>
      <c r="B42" s="50"/>
      <c r="C42" s="50"/>
      <c r="D42" s="50"/>
      <c r="E42" s="50"/>
      <c r="F42" s="50"/>
      <c r="G42" s="50"/>
      <c r="H42" s="50"/>
      <c r="I42" s="50"/>
    </row>
    <row r="43" spans="1:9">
      <c r="A43" s="50"/>
      <c r="B43" s="50"/>
      <c r="C43" s="50"/>
      <c r="D43" s="50"/>
      <c r="E43" s="50"/>
      <c r="F43" s="50"/>
      <c r="G43" s="50"/>
      <c r="H43" s="50"/>
      <c r="I43" s="50"/>
    </row>
    <row r="44" spans="1:9">
      <c r="A44" s="50"/>
      <c r="B44" s="50"/>
      <c r="C44" s="50"/>
      <c r="D44" s="50"/>
      <c r="E44" s="50"/>
      <c r="F44" s="50"/>
      <c r="G44" s="50"/>
      <c r="H44" s="50"/>
      <c r="I44" s="50"/>
    </row>
    <row r="45" spans="1:9" ht="12.95" customHeight="1">
      <c r="A45" s="50"/>
      <c r="B45" s="50"/>
      <c r="C45" s="50"/>
      <c r="D45" s="50"/>
      <c r="E45" s="50"/>
      <c r="F45" s="50"/>
      <c r="G45" s="50"/>
      <c r="H45" s="50"/>
      <c r="I45" s="50"/>
    </row>
    <row r="46" spans="1:9">
      <c r="A46" s="50"/>
      <c r="B46" s="50"/>
      <c r="C46" s="50"/>
      <c r="D46" s="50"/>
      <c r="E46" s="50"/>
      <c r="F46" s="50"/>
      <c r="G46" s="50"/>
      <c r="H46" s="50"/>
      <c r="I46" s="50"/>
    </row>
    <row r="47" spans="1:9">
      <c r="A47" s="50"/>
      <c r="B47" s="50"/>
      <c r="C47" s="50"/>
      <c r="D47" s="50"/>
      <c r="E47" s="50"/>
      <c r="F47" s="50"/>
      <c r="G47" s="50"/>
      <c r="H47" s="50"/>
      <c r="I47" s="50"/>
    </row>
    <row r="48" spans="1:9">
      <c r="A48" s="50"/>
      <c r="B48" s="50"/>
      <c r="C48" s="50"/>
      <c r="D48" s="50"/>
      <c r="E48" s="50"/>
      <c r="F48" s="50"/>
      <c r="G48" s="50"/>
      <c r="H48" s="50"/>
      <c r="I48" s="50"/>
    </row>
    <row r="49" spans="1:9">
      <c r="A49" s="50"/>
      <c r="B49" s="50"/>
      <c r="C49" s="50"/>
      <c r="D49" s="50"/>
      <c r="E49" s="50"/>
      <c r="F49" s="50"/>
      <c r="G49" s="50"/>
      <c r="H49" s="50"/>
      <c r="I49" s="50"/>
    </row>
    <row r="50" spans="1:9">
      <c r="A50" s="50"/>
      <c r="B50" s="50"/>
      <c r="C50" s="50"/>
      <c r="D50" s="50"/>
      <c r="E50" s="50"/>
      <c r="F50" s="50"/>
      <c r="G50" s="50"/>
      <c r="H50" s="50"/>
      <c r="I50" s="50"/>
    </row>
    <row r="51" spans="1:9">
      <c r="A51" s="50"/>
      <c r="B51" s="50"/>
      <c r="C51" s="50"/>
      <c r="D51" s="50"/>
      <c r="E51" s="50"/>
      <c r="F51" s="50"/>
      <c r="G51" s="50"/>
      <c r="H51" s="50"/>
      <c r="I51" s="50"/>
    </row>
    <row r="52" spans="1:9">
      <c r="A52" s="50"/>
      <c r="B52" s="50"/>
      <c r="C52" s="50"/>
      <c r="D52" s="50"/>
      <c r="E52" s="50"/>
      <c r="F52" s="50"/>
      <c r="G52" s="50"/>
      <c r="H52" s="50"/>
      <c r="I52" s="50"/>
    </row>
    <row r="53" spans="1:9">
      <c r="A53" s="50"/>
      <c r="B53" s="50"/>
      <c r="C53" s="50"/>
      <c r="D53" s="50"/>
      <c r="E53" s="50"/>
      <c r="F53" s="50"/>
      <c r="G53" s="50"/>
      <c r="H53" s="50"/>
      <c r="I53" s="50"/>
    </row>
    <row r="54" spans="1:9">
      <c r="A54" s="50"/>
      <c r="B54" s="50"/>
      <c r="C54" s="50"/>
      <c r="D54" s="50"/>
      <c r="E54" s="50"/>
      <c r="F54" s="50"/>
      <c r="G54" s="50"/>
      <c r="H54" s="50"/>
      <c r="I54" s="50"/>
    </row>
    <row r="55" spans="1:9">
      <c r="A55" s="50"/>
      <c r="B55" s="50"/>
      <c r="C55" s="50"/>
      <c r="D55" s="50"/>
      <c r="E55" s="50"/>
      <c r="F55" s="50"/>
      <c r="G55" s="50"/>
      <c r="H55" s="50"/>
      <c r="I55" s="50"/>
    </row>
    <row r="56" spans="1:9">
      <c r="A56" s="50"/>
      <c r="B56" s="50"/>
      <c r="C56" s="50"/>
      <c r="D56" s="50"/>
      <c r="E56" s="50"/>
      <c r="F56" s="50"/>
      <c r="G56" s="50"/>
      <c r="H56" s="50"/>
      <c r="I56" s="50"/>
    </row>
    <row r="57" spans="1:9">
      <c r="A57" s="50"/>
      <c r="B57" s="50"/>
      <c r="C57" s="50"/>
      <c r="D57" s="50"/>
      <c r="E57" s="50"/>
      <c r="F57" s="50"/>
      <c r="G57" s="50"/>
      <c r="H57" s="50"/>
      <c r="I57" s="50"/>
    </row>
    <row r="58" spans="1:9">
      <c r="A58" s="50"/>
      <c r="B58" s="50"/>
      <c r="C58" s="50"/>
      <c r="D58" s="50"/>
      <c r="E58" s="50"/>
      <c r="F58" s="50"/>
      <c r="G58" s="50"/>
      <c r="H58" s="50"/>
      <c r="I58" s="50"/>
    </row>
    <row r="59" spans="1:9">
      <c r="A59" s="50"/>
      <c r="B59" s="50"/>
      <c r="C59" s="50"/>
      <c r="D59" s="50"/>
      <c r="E59" s="50"/>
      <c r="F59" s="50"/>
      <c r="G59" s="50"/>
      <c r="H59" s="50"/>
      <c r="I59" s="50"/>
    </row>
    <row r="60" spans="1:9">
      <c r="A60" s="50"/>
      <c r="B60" s="50"/>
      <c r="C60" s="50"/>
      <c r="D60" s="50"/>
      <c r="E60" s="50"/>
      <c r="F60" s="50"/>
      <c r="G60" s="50"/>
      <c r="H60" s="50"/>
      <c r="I60" s="50"/>
    </row>
    <row r="61" spans="1:9">
      <c r="A61" s="50"/>
      <c r="B61" s="50"/>
      <c r="C61" s="50"/>
      <c r="D61" s="50"/>
      <c r="E61" s="50"/>
      <c r="F61" s="50"/>
      <c r="G61" s="50"/>
      <c r="H61" s="50"/>
      <c r="I61" s="50"/>
    </row>
    <row r="62" spans="1:9">
      <c r="A62" s="50"/>
      <c r="B62" s="50"/>
      <c r="C62" s="50"/>
      <c r="D62" s="50"/>
      <c r="E62" s="50"/>
      <c r="F62" s="50"/>
      <c r="G62" s="50"/>
      <c r="H62" s="50"/>
      <c r="I62" s="50"/>
    </row>
    <row r="63" spans="1:9">
      <c r="A63" s="50"/>
      <c r="B63" s="50"/>
      <c r="C63" s="50"/>
      <c r="D63" s="50"/>
      <c r="E63" s="50"/>
      <c r="F63" s="50"/>
      <c r="G63" s="50"/>
      <c r="H63" s="50"/>
      <c r="I63" s="50"/>
    </row>
    <row r="64" spans="1:9">
      <c r="A64" s="50"/>
      <c r="B64" s="50"/>
      <c r="C64" s="50"/>
      <c r="D64" s="50"/>
      <c r="E64" s="50"/>
      <c r="F64" s="50"/>
      <c r="G64" s="50"/>
      <c r="H64" s="50"/>
      <c r="I64" s="50"/>
    </row>
    <row r="65" spans="1:9">
      <c r="A65" s="50"/>
      <c r="B65" s="50"/>
      <c r="C65" s="50"/>
      <c r="D65" s="50"/>
      <c r="E65" s="50"/>
      <c r="F65" s="50"/>
      <c r="G65" s="50"/>
      <c r="H65" s="50"/>
      <c r="I65" s="50"/>
    </row>
    <row r="66" spans="1:9">
      <c r="A66" s="50"/>
      <c r="B66" s="50"/>
      <c r="C66" s="50"/>
      <c r="D66" s="50"/>
      <c r="E66" s="50"/>
      <c r="F66" s="50"/>
      <c r="G66" s="50"/>
      <c r="H66" s="50"/>
      <c r="I66" s="50"/>
    </row>
    <row r="67" spans="1:9">
      <c r="A67" s="50"/>
      <c r="B67" s="50"/>
      <c r="C67" s="50"/>
      <c r="D67" s="50"/>
      <c r="E67" s="50"/>
      <c r="F67" s="50"/>
      <c r="G67" s="50"/>
      <c r="H67" s="50"/>
      <c r="I67" s="50"/>
    </row>
    <row r="68" spans="1:9">
      <c r="A68" s="50"/>
      <c r="B68" s="50"/>
      <c r="C68" s="50"/>
      <c r="D68" s="50"/>
      <c r="E68" s="50"/>
      <c r="F68" s="50"/>
      <c r="G68" s="50"/>
      <c r="H68" s="50"/>
      <c r="I68" s="50"/>
    </row>
    <row r="69" spans="1:9">
      <c r="A69" s="50"/>
      <c r="B69" s="50"/>
      <c r="C69" s="50"/>
      <c r="D69" s="50"/>
      <c r="E69" s="50"/>
      <c r="F69" s="50"/>
      <c r="G69" s="50"/>
      <c r="H69" s="50"/>
      <c r="I69" s="50"/>
    </row>
    <row r="70" spans="1:9">
      <c r="A70" s="50"/>
      <c r="B70" s="50"/>
      <c r="C70" s="50"/>
      <c r="D70" s="50"/>
      <c r="E70" s="50"/>
      <c r="F70" s="50"/>
      <c r="G70" s="50"/>
      <c r="H70" s="50"/>
      <c r="I70" s="50"/>
    </row>
    <row r="71" spans="1:9">
      <c r="A71" s="50"/>
      <c r="B71" s="50"/>
      <c r="C71" s="50"/>
      <c r="D71" s="50"/>
      <c r="E71" s="50"/>
      <c r="F71" s="50"/>
      <c r="G71" s="50"/>
      <c r="H71" s="50"/>
      <c r="I71" s="50"/>
    </row>
    <row r="72" spans="1:9">
      <c r="A72" s="50"/>
      <c r="B72" s="50"/>
      <c r="C72" s="50"/>
      <c r="D72" s="50"/>
      <c r="E72" s="50"/>
      <c r="F72" s="50"/>
      <c r="G72" s="50"/>
      <c r="H72" s="50"/>
      <c r="I72" s="50"/>
    </row>
    <row r="73" spans="1:9">
      <c r="A73" s="50"/>
      <c r="B73" s="50"/>
      <c r="C73" s="50"/>
      <c r="D73" s="50"/>
      <c r="E73" s="50"/>
      <c r="F73" s="50"/>
      <c r="G73" s="50"/>
      <c r="H73" s="50"/>
      <c r="I73" s="50"/>
    </row>
    <row r="74" spans="1:9">
      <c r="A74" s="50"/>
      <c r="B74" s="50"/>
      <c r="C74" s="50"/>
      <c r="D74" s="50"/>
      <c r="E74" s="50"/>
      <c r="F74" s="50"/>
      <c r="G74" s="50"/>
      <c r="H74" s="50"/>
      <c r="I74" s="50"/>
    </row>
    <row r="75" spans="1:9">
      <c r="A75" s="50"/>
      <c r="B75" s="50"/>
      <c r="C75" s="50"/>
      <c r="D75" s="50"/>
      <c r="E75" s="50"/>
      <c r="F75" s="50"/>
      <c r="G75" s="50"/>
      <c r="H75" s="50"/>
      <c r="I75" s="50"/>
    </row>
    <row r="76" spans="1:9">
      <c r="A76" s="50"/>
      <c r="B76" s="50"/>
      <c r="C76" s="50"/>
      <c r="D76" s="50"/>
      <c r="E76" s="50"/>
      <c r="F76" s="50"/>
      <c r="G76" s="50"/>
      <c r="H76" s="50"/>
      <c r="I76" s="50"/>
    </row>
    <row r="77" spans="1:9">
      <c r="A77" s="50"/>
      <c r="B77" s="50"/>
      <c r="C77" s="50"/>
      <c r="D77" s="50"/>
      <c r="E77" s="50"/>
      <c r="F77" s="50"/>
      <c r="G77" s="50"/>
      <c r="H77" s="50"/>
      <c r="I77" s="50"/>
    </row>
    <row r="78" spans="1:9">
      <c r="A78" s="50"/>
      <c r="B78" s="50"/>
      <c r="C78" s="50"/>
      <c r="D78" s="50"/>
      <c r="E78" s="50"/>
      <c r="F78" s="50"/>
      <c r="G78" s="50"/>
      <c r="H78" s="50"/>
      <c r="I78" s="50"/>
    </row>
    <row r="79" spans="1:9">
      <c r="A79" s="50"/>
      <c r="B79" s="50"/>
      <c r="C79" s="50"/>
      <c r="D79" s="50"/>
      <c r="E79" s="50"/>
      <c r="F79" s="50"/>
      <c r="G79" s="50"/>
      <c r="H79" s="50"/>
      <c r="I79" s="50"/>
    </row>
    <row r="80" spans="1:9">
      <c r="A80" s="50"/>
      <c r="B80" s="50"/>
      <c r="C80" s="50"/>
      <c r="D80" s="50"/>
      <c r="E80" s="50"/>
      <c r="F80" s="50"/>
      <c r="G80" s="50"/>
      <c r="H80" s="50"/>
      <c r="I80" s="50"/>
    </row>
    <row r="81" spans="1:9">
      <c r="A81" s="50"/>
      <c r="B81" s="50"/>
      <c r="C81" s="50"/>
      <c r="D81" s="50"/>
      <c r="E81" s="50"/>
      <c r="F81" s="50"/>
      <c r="G81" s="50"/>
      <c r="H81" s="50"/>
      <c r="I81" s="50"/>
    </row>
    <row r="82" spans="1:9">
      <c r="A82" s="50"/>
      <c r="B82" s="50"/>
      <c r="C82" s="50"/>
      <c r="D82" s="50"/>
      <c r="E82" s="50"/>
      <c r="F82" s="50"/>
      <c r="G82" s="50"/>
      <c r="H82" s="50"/>
      <c r="I82" s="50"/>
    </row>
    <row r="83" spans="1:9">
      <c r="A83" s="50"/>
      <c r="B83" s="50"/>
      <c r="C83" s="50"/>
      <c r="D83" s="50"/>
      <c r="E83" s="50"/>
      <c r="F83" s="50"/>
      <c r="G83" s="50"/>
      <c r="H83" s="50"/>
      <c r="I83" s="50"/>
    </row>
    <row r="84" spans="1:9">
      <c r="A84" s="50"/>
      <c r="B84" s="50"/>
      <c r="C84" s="50"/>
      <c r="D84" s="50"/>
      <c r="E84" s="50"/>
      <c r="F84" s="50"/>
      <c r="G84" s="50"/>
      <c r="H84" s="50"/>
      <c r="I84" s="50"/>
    </row>
    <row r="85" spans="1:9">
      <c r="A85" s="50"/>
      <c r="B85" s="50"/>
      <c r="C85" s="50"/>
      <c r="D85" s="50"/>
      <c r="E85" s="50"/>
      <c r="F85" s="50"/>
      <c r="G85" s="50"/>
      <c r="H85" s="50"/>
      <c r="I85" s="50"/>
    </row>
    <row r="86" spans="1:9">
      <c r="A86" s="50"/>
      <c r="B86" s="50"/>
      <c r="C86" s="50"/>
      <c r="D86" s="50"/>
      <c r="E86" s="50"/>
      <c r="F86" s="50"/>
      <c r="G86" s="50"/>
      <c r="H86" s="50"/>
      <c r="I86" s="50"/>
    </row>
    <row r="87" spans="1:9">
      <c r="A87" s="50"/>
      <c r="B87" s="50"/>
      <c r="C87" s="50"/>
      <c r="D87" s="50"/>
      <c r="E87" s="50"/>
      <c r="F87" s="50"/>
      <c r="G87" s="50"/>
      <c r="H87" s="50"/>
      <c r="I87" s="50"/>
    </row>
    <row r="88" spans="1:9">
      <c r="A88" s="50"/>
      <c r="B88" s="50"/>
      <c r="C88" s="50"/>
      <c r="D88" s="50"/>
      <c r="E88" s="50"/>
      <c r="F88" s="50"/>
      <c r="G88" s="50"/>
      <c r="H88" s="50"/>
      <c r="I88" s="50"/>
    </row>
    <row r="89" spans="1:9">
      <c r="A89" s="50"/>
      <c r="B89" s="50"/>
      <c r="C89" s="50"/>
      <c r="D89" s="50"/>
      <c r="E89" s="50"/>
      <c r="F89" s="50"/>
      <c r="G89" s="50"/>
      <c r="H89" s="50"/>
      <c r="I89" s="50"/>
    </row>
    <row r="90" spans="1:9">
      <c r="A90" s="50"/>
      <c r="B90" s="50"/>
      <c r="C90" s="50"/>
      <c r="D90" s="50"/>
      <c r="E90" s="50"/>
      <c r="F90" s="50"/>
      <c r="G90" s="50"/>
      <c r="H90" s="50"/>
      <c r="I90" s="50"/>
    </row>
    <row r="91" spans="1:9">
      <c r="A91" s="50"/>
      <c r="B91" s="50"/>
      <c r="C91" s="50"/>
      <c r="D91" s="50"/>
      <c r="E91" s="50"/>
      <c r="F91" s="50"/>
      <c r="G91" s="50"/>
      <c r="H91" s="50"/>
      <c r="I91" s="50"/>
    </row>
    <row r="92" spans="1:9">
      <c r="A92" s="50"/>
      <c r="B92" s="50"/>
      <c r="C92" s="50"/>
      <c r="D92" s="50"/>
      <c r="E92" s="50"/>
      <c r="F92" s="50"/>
      <c r="G92" s="50"/>
      <c r="H92" s="50"/>
      <c r="I92" s="50"/>
    </row>
    <row r="93" spans="1:9">
      <c r="A93" s="50"/>
      <c r="B93" s="50"/>
      <c r="C93" s="50"/>
      <c r="D93" s="50"/>
      <c r="E93" s="50"/>
      <c r="F93" s="50"/>
      <c r="G93" s="50"/>
      <c r="H93" s="50"/>
      <c r="I93" s="50"/>
    </row>
    <row r="94" spans="1:9">
      <c r="A94" s="50"/>
      <c r="B94" s="50"/>
      <c r="C94" s="50"/>
      <c r="D94" s="50"/>
      <c r="E94" s="50"/>
      <c r="F94" s="50"/>
      <c r="G94" s="50"/>
      <c r="H94" s="50"/>
      <c r="I94" s="50"/>
    </row>
    <row r="95" spans="1:9">
      <c r="A95" s="50"/>
      <c r="B95" s="50"/>
      <c r="C95" s="50"/>
      <c r="D95" s="50"/>
      <c r="E95" s="50"/>
      <c r="F95" s="50"/>
      <c r="G95" s="50"/>
      <c r="H95" s="50"/>
      <c r="I95" s="50"/>
    </row>
    <row r="96" spans="1:9">
      <c r="A96" s="50"/>
      <c r="B96" s="50"/>
      <c r="C96" s="50"/>
      <c r="D96" s="50"/>
      <c r="E96" s="50"/>
      <c r="F96" s="50"/>
      <c r="G96" s="50"/>
      <c r="H96" s="50"/>
      <c r="I96" s="50"/>
    </row>
    <row r="97" spans="1:9">
      <c r="A97" s="50"/>
      <c r="B97" s="50"/>
      <c r="C97" s="50"/>
      <c r="D97" s="50"/>
      <c r="E97" s="50"/>
      <c r="F97" s="50"/>
      <c r="G97" s="50"/>
      <c r="H97" s="50"/>
      <c r="I97" s="50"/>
    </row>
    <row r="98" spans="1:9">
      <c r="A98" s="50"/>
      <c r="B98" s="50"/>
      <c r="C98" s="50"/>
      <c r="D98" s="50"/>
      <c r="E98" s="50"/>
      <c r="F98" s="50"/>
      <c r="G98" s="50"/>
      <c r="H98" s="50"/>
      <c r="I98" s="50"/>
    </row>
    <row r="99" spans="1:9">
      <c r="A99" s="50"/>
      <c r="B99" s="50"/>
      <c r="C99" s="50"/>
      <c r="D99" s="50"/>
      <c r="E99" s="50"/>
      <c r="F99" s="50"/>
      <c r="G99" s="50"/>
      <c r="H99" s="50"/>
      <c r="I99" s="50"/>
    </row>
    <row r="100" spans="1:9">
      <c r="A100" s="50"/>
      <c r="B100" s="50"/>
      <c r="C100" s="50"/>
      <c r="D100" s="50"/>
      <c r="E100" s="50"/>
      <c r="F100" s="50"/>
      <c r="G100" s="50"/>
      <c r="H100" s="50"/>
      <c r="I100" s="50"/>
    </row>
    <row r="101" spans="1:9">
      <c r="A101" s="50"/>
      <c r="B101" s="50"/>
      <c r="C101" s="50"/>
      <c r="D101" s="50"/>
      <c r="E101" s="50"/>
      <c r="F101" s="50"/>
      <c r="G101" s="50"/>
      <c r="H101" s="50"/>
      <c r="I101" s="50"/>
    </row>
    <row r="102" spans="1:9">
      <c r="A102" s="50"/>
      <c r="B102" s="50"/>
      <c r="C102" s="50"/>
      <c r="D102" s="50"/>
      <c r="E102" s="50"/>
      <c r="F102" s="50"/>
      <c r="G102" s="50"/>
      <c r="H102" s="50"/>
      <c r="I102" s="50"/>
    </row>
    <row r="103" spans="1:9">
      <c r="A103" s="50"/>
      <c r="B103" s="50"/>
      <c r="C103" s="50"/>
      <c r="D103" s="50"/>
      <c r="E103" s="50"/>
      <c r="F103" s="50"/>
      <c r="G103" s="50"/>
      <c r="H103" s="50"/>
      <c r="I103" s="50"/>
    </row>
    <row r="104" spans="1:9">
      <c r="A104" s="50"/>
      <c r="B104" s="50"/>
      <c r="C104" s="50"/>
      <c r="D104" s="50"/>
      <c r="E104" s="50"/>
      <c r="F104" s="50"/>
      <c r="G104" s="50"/>
      <c r="H104" s="50"/>
      <c r="I104" s="50"/>
    </row>
    <row r="105" spans="1:9">
      <c r="A105" s="50"/>
      <c r="B105" s="50"/>
      <c r="C105" s="50"/>
      <c r="D105" s="50"/>
      <c r="E105" s="50"/>
      <c r="F105" s="50"/>
      <c r="G105" s="50"/>
      <c r="H105" s="50"/>
      <c r="I105" s="50"/>
    </row>
    <row r="106" spans="1:9">
      <c r="A106" s="50"/>
      <c r="B106" s="50"/>
      <c r="C106" s="50"/>
      <c r="D106" s="50"/>
      <c r="E106" s="50"/>
      <c r="F106" s="50"/>
      <c r="G106" s="50"/>
      <c r="H106" s="50"/>
      <c r="I106" s="50"/>
    </row>
    <row r="107" spans="1:9">
      <c r="A107" s="50"/>
      <c r="B107" s="50"/>
      <c r="C107" s="50"/>
      <c r="D107" s="50"/>
      <c r="E107" s="50"/>
      <c r="F107" s="50"/>
      <c r="G107" s="50"/>
      <c r="H107" s="50"/>
      <c r="I107" s="50"/>
    </row>
    <row r="108" spans="1:9">
      <c r="A108" s="50"/>
      <c r="B108" s="50"/>
      <c r="C108" s="50"/>
      <c r="D108" s="50"/>
      <c r="E108" s="50"/>
      <c r="F108" s="50"/>
      <c r="G108" s="50"/>
      <c r="H108" s="50"/>
      <c r="I108" s="50"/>
    </row>
    <row r="109" spans="1:9">
      <c r="A109" s="50"/>
      <c r="B109" s="50"/>
      <c r="C109" s="50"/>
      <c r="D109" s="50"/>
      <c r="E109" s="50"/>
      <c r="F109" s="50"/>
      <c r="G109" s="50"/>
      <c r="H109" s="50"/>
      <c r="I109" s="50"/>
    </row>
    <row r="110" spans="1:9">
      <c r="A110" s="50"/>
      <c r="B110" s="50"/>
      <c r="C110" s="50"/>
      <c r="D110" s="50"/>
      <c r="E110" s="50"/>
      <c r="F110" s="50"/>
      <c r="G110" s="50"/>
      <c r="H110" s="50"/>
      <c r="I110" s="50"/>
    </row>
    <row r="111" spans="1:9">
      <c r="A111" s="50"/>
      <c r="B111" s="50"/>
      <c r="C111" s="50"/>
      <c r="D111" s="50"/>
      <c r="E111" s="50"/>
      <c r="F111" s="50"/>
      <c r="G111" s="50"/>
      <c r="H111" s="50"/>
      <c r="I111" s="50"/>
    </row>
    <row r="112" spans="1:9">
      <c r="A112" s="50"/>
      <c r="B112" s="50"/>
      <c r="C112" s="50"/>
      <c r="D112" s="50"/>
      <c r="E112" s="50"/>
      <c r="F112" s="50"/>
      <c r="G112" s="50"/>
      <c r="H112" s="50"/>
      <c r="I112" s="50"/>
    </row>
    <row r="113" spans="1:9">
      <c r="A113" s="50"/>
      <c r="B113" s="50"/>
      <c r="C113" s="50"/>
      <c r="D113" s="50"/>
      <c r="E113" s="50"/>
      <c r="F113" s="50"/>
      <c r="G113" s="50"/>
      <c r="H113" s="50"/>
      <c r="I113" s="50"/>
    </row>
    <row r="114" spans="1:9">
      <c r="A114" s="50"/>
      <c r="B114" s="50"/>
      <c r="C114" s="50"/>
      <c r="D114" s="50"/>
      <c r="E114" s="50"/>
      <c r="F114" s="50"/>
      <c r="G114" s="50"/>
      <c r="H114" s="50"/>
      <c r="I114" s="50"/>
    </row>
    <row r="115" spans="1:9">
      <c r="A115" s="50"/>
      <c r="B115" s="50"/>
      <c r="C115" s="50"/>
      <c r="D115" s="50"/>
      <c r="E115" s="50"/>
      <c r="F115" s="50"/>
      <c r="G115" s="50"/>
      <c r="H115" s="50"/>
      <c r="I115" s="50"/>
    </row>
    <row r="116" spans="1:9">
      <c r="A116" s="50"/>
      <c r="B116" s="50"/>
      <c r="C116" s="50"/>
      <c r="D116" s="50"/>
      <c r="E116" s="50"/>
      <c r="F116" s="50"/>
      <c r="G116" s="50"/>
      <c r="H116" s="50"/>
      <c r="I116" s="50"/>
    </row>
    <row r="117" spans="1:9">
      <c r="A117" s="50"/>
      <c r="B117" s="50"/>
      <c r="C117" s="50"/>
      <c r="D117" s="50"/>
      <c r="E117" s="50"/>
      <c r="F117" s="50"/>
      <c r="G117" s="50"/>
      <c r="H117" s="50"/>
      <c r="I117" s="50"/>
    </row>
    <row r="118" spans="1:9">
      <c r="A118" s="50"/>
      <c r="B118" s="50"/>
      <c r="C118" s="50"/>
      <c r="D118" s="50"/>
      <c r="E118" s="50"/>
      <c r="F118" s="50"/>
      <c r="G118" s="50"/>
      <c r="H118" s="50"/>
      <c r="I118" s="50"/>
    </row>
    <row r="119" spans="1:9">
      <c r="A119" s="50"/>
      <c r="B119" s="50"/>
      <c r="C119" s="50"/>
      <c r="D119" s="50"/>
      <c r="E119" s="50"/>
      <c r="F119" s="50"/>
      <c r="G119" s="50"/>
      <c r="H119" s="50"/>
      <c r="I119" s="50"/>
    </row>
    <row r="120" spans="1:9">
      <c r="A120" s="50"/>
      <c r="B120" s="50"/>
      <c r="C120" s="50"/>
      <c r="D120" s="50"/>
      <c r="E120" s="50"/>
      <c r="F120" s="50"/>
      <c r="G120" s="50"/>
      <c r="H120" s="50"/>
      <c r="I120" s="50"/>
    </row>
    <row r="121" spans="1:9">
      <c r="A121" s="50"/>
      <c r="B121" s="50"/>
      <c r="C121" s="50"/>
      <c r="D121" s="50"/>
      <c r="E121" s="50"/>
      <c r="F121" s="50"/>
      <c r="G121" s="50"/>
      <c r="H121" s="50"/>
      <c r="I121" s="50"/>
    </row>
    <row r="122" spans="1:9">
      <c r="A122" s="50"/>
      <c r="B122" s="50"/>
      <c r="C122" s="50"/>
      <c r="D122" s="50"/>
      <c r="E122" s="50"/>
      <c r="F122" s="50"/>
      <c r="G122" s="50"/>
      <c r="H122" s="50"/>
      <c r="I122" s="50"/>
    </row>
    <row r="123" spans="1:9">
      <c r="A123" s="50"/>
      <c r="B123" s="50"/>
      <c r="C123" s="50"/>
      <c r="D123" s="50"/>
      <c r="E123" s="50"/>
      <c r="F123" s="50"/>
      <c r="G123" s="50"/>
      <c r="H123" s="50"/>
      <c r="I123" s="50"/>
    </row>
    <row r="124" spans="1:9">
      <c r="A124" s="50"/>
      <c r="B124" s="50"/>
      <c r="C124" s="50"/>
      <c r="D124" s="50"/>
      <c r="E124" s="50"/>
      <c r="F124" s="50"/>
      <c r="G124" s="50"/>
      <c r="H124" s="50"/>
      <c r="I124" s="50"/>
    </row>
    <row r="125" spans="1:9">
      <c r="A125" s="50"/>
      <c r="B125" s="50"/>
      <c r="C125" s="50"/>
      <c r="D125" s="50"/>
      <c r="E125" s="50"/>
      <c r="F125" s="50"/>
      <c r="G125" s="50"/>
      <c r="H125" s="50"/>
      <c r="I125" s="50"/>
    </row>
    <row r="126" spans="1:9">
      <c r="A126" s="50"/>
      <c r="B126" s="50"/>
      <c r="C126" s="50"/>
      <c r="D126" s="50"/>
      <c r="E126" s="50"/>
      <c r="F126" s="50"/>
      <c r="G126" s="50"/>
      <c r="H126" s="50"/>
      <c r="I126" s="50"/>
    </row>
    <row r="127" spans="1:9">
      <c r="A127" s="50"/>
      <c r="B127" s="50"/>
      <c r="C127" s="50"/>
      <c r="D127" s="50"/>
      <c r="E127" s="50"/>
      <c r="F127" s="50"/>
      <c r="G127" s="50"/>
      <c r="H127" s="50"/>
      <c r="I127" s="50"/>
    </row>
    <row r="128" spans="1:9">
      <c r="A128" s="50"/>
      <c r="B128" s="50"/>
      <c r="C128" s="50"/>
      <c r="D128" s="50"/>
      <c r="E128" s="50"/>
      <c r="F128" s="50"/>
      <c r="G128" s="50"/>
      <c r="H128" s="50"/>
      <c r="I128" s="50"/>
    </row>
    <row r="129" spans="1:9">
      <c r="A129" s="50"/>
      <c r="B129" s="50"/>
      <c r="C129" s="50"/>
      <c r="D129" s="50"/>
      <c r="E129" s="50"/>
      <c r="F129" s="50"/>
      <c r="G129" s="50"/>
      <c r="H129" s="50"/>
      <c r="I129" s="50"/>
    </row>
    <row r="130" spans="1:9">
      <c r="A130" s="50"/>
      <c r="B130" s="50"/>
      <c r="C130" s="50"/>
      <c r="D130" s="50"/>
      <c r="E130" s="50"/>
      <c r="F130" s="50"/>
      <c r="G130" s="50"/>
      <c r="H130" s="50"/>
      <c r="I130" s="50"/>
    </row>
    <row r="131" spans="1:9">
      <c r="A131" s="50"/>
      <c r="B131" s="50"/>
      <c r="C131" s="50"/>
      <c r="D131" s="50"/>
      <c r="E131" s="50"/>
      <c r="F131" s="50"/>
      <c r="G131" s="50"/>
      <c r="H131" s="50"/>
      <c r="I131" s="50"/>
    </row>
    <row r="132" spans="1:9">
      <c r="A132" s="50"/>
      <c r="B132" s="50"/>
      <c r="C132" s="50"/>
      <c r="D132" s="50"/>
      <c r="E132" s="50"/>
      <c r="F132" s="50"/>
      <c r="G132" s="50"/>
      <c r="H132" s="50"/>
      <c r="I132" s="50"/>
    </row>
    <row r="133" spans="1:9">
      <c r="A133" s="50"/>
      <c r="B133" s="50"/>
      <c r="C133" s="50"/>
      <c r="D133" s="50"/>
      <c r="E133" s="50"/>
      <c r="F133" s="50"/>
      <c r="G133" s="50"/>
      <c r="H133" s="50"/>
      <c r="I133" s="50"/>
    </row>
    <row r="134" spans="1:9">
      <c r="A134" s="50"/>
      <c r="B134" s="50"/>
      <c r="C134" s="50"/>
      <c r="D134" s="50"/>
      <c r="E134" s="50"/>
      <c r="F134" s="50"/>
      <c r="G134" s="50"/>
      <c r="H134" s="50"/>
      <c r="I134" s="50"/>
    </row>
    <row r="135" spans="1:9">
      <c r="A135" s="50"/>
      <c r="B135" s="50"/>
      <c r="C135" s="50"/>
      <c r="D135" s="50"/>
      <c r="E135" s="50"/>
      <c r="F135" s="50"/>
      <c r="G135" s="50"/>
      <c r="H135" s="50"/>
      <c r="I135" s="50"/>
    </row>
    <row r="136" spans="1:9">
      <c r="A136" s="50"/>
      <c r="B136" s="50"/>
      <c r="C136" s="50"/>
      <c r="D136" s="50"/>
      <c r="E136" s="50"/>
      <c r="F136" s="50"/>
      <c r="G136" s="50"/>
      <c r="H136" s="50"/>
      <c r="I136" s="50"/>
    </row>
    <row r="137" spans="1:9">
      <c r="A137" s="50"/>
      <c r="B137" s="50"/>
      <c r="C137" s="50"/>
      <c r="D137" s="50"/>
      <c r="E137" s="50"/>
      <c r="F137" s="50"/>
      <c r="G137" s="50"/>
      <c r="H137" s="50"/>
      <c r="I137" s="50"/>
    </row>
    <row r="138" spans="1:9">
      <c r="A138" s="50"/>
      <c r="B138" s="50"/>
      <c r="C138" s="50"/>
      <c r="D138" s="50"/>
      <c r="E138" s="50"/>
      <c r="F138" s="50"/>
      <c r="G138" s="50"/>
      <c r="H138" s="50"/>
      <c r="I138" s="50"/>
    </row>
    <row r="139" spans="1:9">
      <c r="A139" s="50"/>
      <c r="B139" s="50"/>
      <c r="C139" s="50"/>
      <c r="D139" s="50"/>
      <c r="E139" s="50"/>
      <c r="F139" s="50"/>
      <c r="G139" s="50"/>
      <c r="H139" s="50"/>
      <c r="I139" s="50"/>
    </row>
    <row r="140" spans="1:9">
      <c r="A140" s="50"/>
      <c r="B140" s="50"/>
      <c r="C140" s="50"/>
      <c r="D140" s="50"/>
      <c r="E140" s="50"/>
      <c r="F140" s="50"/>
      <c r="G140" s="50"/>
      <c r="H140" s="50"/>
      <c r="I140" s="50"/>
    </row>
    <row r="141" spans="1:9">
      <c r="A141" s="50"/>
      <c r="B141" s="50"/>
      <c r="C141" s="50"/>
      <c r="D141" s="50"/>
      <c r="E141" s="50"/>
      <c r="F141" s="50"/>
      <c r="G141" s="50"/>
      <c r="H141" s="50"/>
      <c r="I141" s="50"/>
    </row>
    <row r="142" spans="1:9">
      <c r="A142" s="50"/>
      <c r="B142" s="50"/>
      <c r="C142" s="50"/>
      <c r="D142" s="50"/>
      <c r="E142" s="50"/>
      <c r="F142" s="50"/>
      <c r="G142" s="50"/>
      <c r="H142" s="50"/>
      <c r="I142" s="50"/>
    </row>
    <row r="143" spans="1:9">
      <c r="A143" s="50"/>
      <c r="B143" s="50"/>
      <c r="C143" s="50"/>
      <c r="D143" s="50"/>
      <c r="E143" s="50"/>
      <c r="F143" s="50"/>
      <c r="G143" s="50"/>
      <c r="H143" s="50"/>
      <c r="I143" s="50"/>
    </row>
    <row r="144" spans="1:9">
      <c r="A144" s="50"/>
      <c r="B144" s="50"/>
      <c r="C144" s="50"/>
      <c r="D144" s="50"/>
      <c r="E144" s="50"/>
      <c r="F144" s="50"/>
      <c r="G144" s="50"/>
      <c r="H144" s="50"/>
      <c r="I144" s="50"/>
    </row>
    <row r="145" spans="1:9">
      <c r="A145" s="50"/>
      <c r="B145" s="50"/>
      <c r="C145" s="50"/>
      <c r="D145" s="50"/>
      <c r="E145" s="50"/>
      <c r="F145" s="50"/>
      <c r="G145" s="50"/>
      <c r="H145" s="50"/>
      <c r="I145" s="50"/>
    </row>
    <row r="146" spans="1:9">
      <c r="A146" s="50"/>
      <c r="B146" s="50"/>
      <c r="C146" s="50"/>
    </row>
  </sheetData>
  <sheetProtection algorithmName="SHA-512" hashValue="lxzKPbM8DkPTTpjSfTjksYTY5DUBZhQJXY06vFMDsi41NIPcrrlaZkJ5VGCSbzhQeVkAjUApwmR/s1wLhSZm+g==" saltValue="O8GJu7JBf39azcm6bt1csQ==" spinCount="100000" sheet="1" objects="1" scenarios="1"/>
  <mergeCells count="10">
    <mergeCell ref="B1:F1"/>
    <mergeCell ref="B2:F2"/>
    <mergeCell ref="B3:F3"/>
    <mergeCell ref="A31:I31"/>
    <mergeCell ref="A7:C7"/>
    <mergeCell ref="G27:I27"/>
    <mergeCell ref="A12:A15"/>
    <mergeCell ref="G23:I23"/>
    <mergeCell ref="G25:I25"/>
    <mergeCell ref="G7:I7"/>
  </mergeCells>
  <dataValidations count="3">
    <dataValidation type="list" allowBlank="1" showInputMessage="1" showErrorMessage="1" error="Bitte wählen Sie einen Wert aus dem Drop-Down-Menu / Sélectionnez une valeur dans le menu déroulant, s.v.p." sqref="G19">
      <formula1>Currency</formula1>
    </dataValidation>
    <dataValidation type="list" allowBlank="1" showInputMessage="1" showErrorMessage="1" error="Bitte wählen Sie einen Wert aus dem Drop-Down-Menu / Sélectionnez une valeur dans le menu déroulant, s.v.p." sqref="G21">
      <formula1>Currency</formula1>
    </dataValidation>
    <dataValidation type="textLength" allowBlank="1" showInputMessage="1" showErrorMessage="1" error="Bitte verwenden Sie nicht mehr als 199 Zeichen / S.v.p. utilisez 199 caractères au maximum" sqref="A17 A19 A21">
      <formula1>0</formula1>
      <formula2>199</formula2>
    </dataValidation>
  </dataValidations>
  <hyperlinks>
    <hyperlink ref="E33" location="'32t'!A1" display="'32t'!A1"/>
    <hyperlink ref="E35" location="'4'!A1" display="'4'!A1"/>
    <hyperlink ref="E37" location="'5'!A1" display="'5'!A1"/>
    <hyperlink ref="C33" location="'31cCH'!A1" display="'31cCH'!A1"/>
  </hyperlinks>
  <pageMargins left="0.74803149606299213" right="0.74803149606299213" top="0.39370078740157483" bottom="0.19685039370078741" header="0.51181102362204722" footer="0.51181102362204722"/>
  <pageSetup paperSize="9" scale="88"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4" operator="equal" id="{4E970D0B-5A75-184E-8253-B7D00A9796BB}">
            <xm:f>txt!$B$222</xm:f>
            <x14:dxf>
              <font>
                <u/>
                <color rgb="FF0000FF"/>
              </font>
              <fill>
                <patternFill patternType="solid">
                  <fgColor indexed="64"/>
                  <bgColor rgb="FFFFFF00"/>
                </patternFill>
              </fill>
            </x14:dxf>
          </x14:cfRule>
          <xm:sqref>E34 E36 E38:E41</xm:sqref>
        </x14:conditionalFormatting>
        <x14:conditionalFormatting xmlns:xm="http://schemas.microsoft.com/office/excel/2006/main">
          <x14:cfRule type="cellIs" priority="3" operator="equal" id="{B90652E5-60C5-4BF7-8273-17A37CB6A10C}">
            <xm:f>txt!$B$222</xm:f>
            <x14:dxf>
              <font>
                <u/>
                <color rgb="FF0000FF"/>
              </font>
              <fill>
                <patternFill patternType="solid">
                  <fgColor indexed="64"/>
                  <bgColor rgb="FFFFFF00"/>
                </patternFill>
              </fill>
            </x14:dxf>
          </x14:cfRule>
          <xm:sqref>E33</xm:sqref>
        </x14:conditionalFormatting>
        <x14:conditionalFormatting xmlns:xm="http://schemas.microsoft.com/office/excel/2006/main">
          <x14:cfRule type="cellIs" priority="2" operator="equal" id="{EECBEF4D-C83D-4DA9-9A81-17AF9B139BF2}">
            <xm:f>txt!$B$222</xm:f>
            <x14:dxf>
              <font>
                <u/>
                <color rgb="FF0000FF"/>
              </font>
              <fill>
                <patternFill patternType="solid">
                  <fgColor indexed="64"/>
                  <bgColor rgb="FFFFFF00"/>
                </patternFill>
              </fill>
            </x14:dxf>
          </x14:cfRule>
          <xm:sqref>E35</xm:sqref>
        </x14:conditionalFormatting>
        <x14:conditionalFormatting xmlns:xm="http://schemas.microsoft.com/office/excel/2006/main">
          <x14:cfRule type="cellIs" priority="1" operator="equal" id="{ACAD650E-1EE9-44D6-BE53-8965C25B8BB2}">
            <xm:f>txt!$B$222</xm:f>
            <x14:dxf>
              <font>
                <u/>
                <color rgb="FF0000FF"/>
              </font>
              <fill>
                <patternFill patternType="solid">
                  <fgColor indexed="64"/>
                  <bgColor rgb="FFFFFF00"/>
                </patternFill>
              </fill>
            </x14:dxf>
          </x14:cfRule>
          <xm:sqref>E37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G17</xm:sqref>
        </x14:dataValidation>
      </x14:dataValidations>
    </ex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tabColor theme="8" tint="0.39997558519241921"/>
    <pageSetUpPr fitToPage="1"/>
  </sheetPr>
  <dimension ref="A1:AU51"/>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373" t="str">
        <f>txt!B47&amp;": "&amp;txt!B51</f>
        <v>Geschäftsfeld: Betrieb-, Support-, Installations- und Wartungsleistungen</v>
      </c>
      <c r="B7" s="373"/>
      <c r="C7" s="373"/>
      <c r="D7" s="63"/>
      <c r="E7" s="63"/>
      <c r="F7" s="63"/>
      <c r="G7" s="63"/>
      <c r="H7" s="349" t="str">
        <f>" "&amp;REPT("|",INT(Steuerung!AA31*107))</f>
        <v xml:space="preserve"> </v>
      </c>
      <c r="I7" s="350"/>
      <c r="J7" s="350"/>
      <c r="K7" s="351"/>
      <c r="L7" s="63"/>
    </row>
    <row r="8" spans="1:16" ht="13.5" customHeight="1">
      <c r="A8" s="63" t="str">
        <f>txt!B48&amp;": "&amp;txt!B60</f>
        <v>Dienstleistungstyp: Betrieb, Support &amp; Wartung</v>
      </c>
      <c r="B8" s="63"/>
      <c r="C8" s="63"/>
      <c r="D8" s="63"/>
      <c r="E8" s="63"/>
      <c r="F8" s="63"/>
      <c r="G8" s="63"/>
      <c r="H8" s="63"/>
      <c r="I8" s="63"/>
      <c r="J8" s="63"/>
      <c r="K8" s="65" t="str">
        <f>IF(COUNTIF($A$17:$A$25,"")=9,txt!B228,IF(SUM($C$17:$C$25)&lt;&gt;1,txt!B227,IF(COUNTIF($D$17,"")=1,txt!B235,IF(COUNTIF($E$17:$E$25,"")=9,txt!B233,IF(COUNTIF($F$17:$F$25,"")=9,txt!B234,IF(COUNTIF($H$17:$H$25,"")=9,txt!B251,IF(COUNTIF($I$17:$I$25,"")=9,txt!B251,"")))))))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txt!B157</f>
        <v>Kunde in der Schweiz</v>
      </c>
      <c r="H13" s="57"/>
    </row>
    <row r="14" spans="1:16" ht="13.5" customHeight="1"/>
    <row r="15" spans="1:16" ht="13.5" customHeight="1">
      <c r="A15" s="69" t="str">
        <f>txt!B111&amp;"-"&amp;txt!B113</f>
        <v>Run-Bereich</v>
      </c>
      <c r="B15" s="89"/>
      <c r="C15" s="118"/>
      <c r="D15" s="118"/>
      <c r="E15" s="118" t="str">
        <f>txt!B23</f>
        <v>März 2022</v>
      </c>
      <c r="F15" s="118" t="str">
        <f>txt!B24</f>
        <v>März 2021</v>
      </c>
      <c r="G15" s="119"/>
      <c r="H15" s="118" t="str">
        <f>E15</f>
        <v>März 2022</v>
      </c>
      <c r="I15" s="118" t="str">
        <f>F15</f>
        <v>März 2021</v>
      </c>
      <c r="J15" s="118"/>
      <c r="K15" s="118"/>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J16" s="118"/>
      <c r="K16" s="118"/>
      <c r="L16" s="120"/>
    </row>
    <row r="17" spans="1:47" ht="13.5" customHeight="1">
      <c r="A17" s="281" t="s">
        <v>662</v>
      </c>
      <c r="B17" s="89"/>
      <c r="C17" s="266"/>
      <c r="D17" s="121" t="s">
        <v>159</v>
      </c>
      <c r="E17" s="283"/>
      <c r="F17" s="283"/>
      <c r="G17" s="68"/>
      <c r="H17" s="266"/>
      <c r="I17" s="266"/>
      <c r="J17" s="68"/>
      <c r="K17" s="118"/>
      <c r="L17" s="120"/>
    </row>
    <row r="18" spans="1:47" ht="7.5" customHeight="1">
      <c r="A18" s="60"/>
      <c r="B18" s="89"/>
      <c r="C18" s="120"/>
      <c r="D18" s="120"/>
      <c r="E18" s="122"/>
      <c r="F18" s="122"/>
      <c r="G18" s="68"/>
      <c r="H18" s="120"/>
      <c r="I18" s="120"/>
      <c r="J18" s="68"/>
      <c r="K18" s="118"/>
      <c r="L18" s="120"/>
    </row>
    <row r="19" spans="1:47" ht="13.5" customHeight="1">
      <c r="A19" s="281" t="s">
        <v>663</v>
      </c>
      <c r="B19" s="89"/>
      <c r="C19" s="266"/>
      <c r="D19" s="121" t="s">
        <v>159</v>
      </c>
      <c r="E19" s="283"/>
      <c r="F19" s="283"/>
      <c r="G19" s="68"/>
      <c r="H19" s="266"/>
      <c r="I19" s="266"/>
      <c r="J19" s="68"/>
      <c r="K19" s="118"/>
      <c r="L19" s="120"/>
    </row>
    <row r="20" spans="1:47" ht="7.5" customHeight="1">
      <c r="A20" s="60"/>
      <c r="B20" s="89"/>
      <c r="C20" s="120"/>
      <c r="D20" s="120"/>
      <c r="E20" s="122"/>
      <c r="F20" s="122"/>
      <c r="G20" s="68"/>
      <c r="H20" s="120"/>
      <c r="I20" s="120"/>
      <c r="J20" s="68"/>
      <c r="K20" s="118"/>
      <c r="L20" s="120"/>
    </row>
    <row r="21" spans="1:47" ht="13.5" customHeight="1">
      <c r="A21" s="281" t="s">
        <v>664</v>
      </c>
      <c r="B21" s="89"/>
      <c r="C21" s="266"/>
      <c r="D21" s="121" t="s">
        <v>159</v>
      </c>
      <c r="E21" s="283"/>
      <c r="F21" s="283"/>
      <c r="G21" s="68"/>
      <c r="H21" s="266"/>
      <c r="I21" s="266"/>
      <c r="J21" s="68"/>
      <c r="K21" s="118"/>
      <c r="L21" s="120"/>
    </row>
    <row r="22" spans="1:47" ht="7.5" customHeight="1">
      <c r="A22" s="60"/>
      <c r="B22" s="89"/>
      <c r="C22" s="120"/>
      <c r="D22" s="120"/>
      <c r="E22" s="122"/>
      <c r="F22" s="122"/>
      <c r="G22" s="68"/>
      <c r="H22" s="120"/>
      <c r="I22" s="120"/>
      <c r="J22" s="68"/>
      <c r="K22" s="118"/>
      <c r="L22" s="120"/>
    </row>
    <row r="23" spans="1:47" ht="13.5" customHeight="1">
      <c r="A23" s="281"/>
      <c r="B23" s="89"/>
      <c r="C23" s="266"/>
      <c r="D23" s="121" t="s">
        <v>159</v>
      </c>
      <c r="E23" s="283"/>
      <c r="F23" s="283"/>
      <c r="G23" s="68"/>
      <c r="H23" s="266"/>
      <c r="I23" s="266"/>
      <c r="J23" s="68"/>
      <c r="K23" s="118"/>
      <c r="L23" s="120"/>
    </row>
    <row r="24" spans="1:47" ht="7.5" customHeight="1">
      <c r="A24" s="60"/>
      <c r="B24" s="89"/>
      <c r="C24" s="120"/>
      <c r="D24" s="120"/>
      <c r="E24" s="122"/>
      <c r="F24" s="122"/>
      <c r="G24" s="68"/>
      <c r="H24" s="120"/>
      <c r="I24" s="120"/>
      <c r="J24" s="68"/>
      <c r="K24" s="118"/>
      <c r="L24" s="120"/>
    </row>
    <row r="25" spans="1:47" ht="13.5" customHeight="1">
      <c r="A25" s="281"/>
      <c r="B25" s="89"/>
      <c r="C25" s="266"/>
      <c r="D25" s="121" t="s">
        <v>159</v>
      </c>
      <c r="E25" s="283"/>
      <c r="F25" s="283"/>
      <c r="G25" s="68"/>
      <c r="H25" s="266"/>
      <c r="I25" s="266"/>
      <c r="J25" s="68"/>
      <c r="K25" s="118"/>
      <c r="L25" s="120"/>
    </row>
    <row r="26" spans="1:47" ht="13.5" customHeight="1">
      <c r="A26" s="69"/>
      <c r="B26" s="89"/>
      <c r="C26" s="356" t="str">
        <f>SUM(C17:C25)*100&amp;txt!$B$224</f>
        <v>0% von 100% zugeteilt</v>
      </c>
      <c r="D26" s="356"/>
      <c r="E26" s="120"/>
      <c r="F26" s="120"/>
      <c r="G26" s="68"/>
      <c r="H26" s="120"/>
      <c r="I26" s="120"/>
      <c r="J26" s="68"/>
      <c r="K26" s="118"/>
      <c r="L26" s="120"/>
    </row>
    <row r="27" spans="1:47" ht="13.5" customHeight="1">
      <c r="A27" s="69"/>
      <c r="B27" s="89"/>
      <c r="C27" s="120"/>
      <c r="D27" s="120"/>
      <c r="E27" s="120"/>
      <c r="F27" s="120"/>
      <c r="G27" s="68"/>
      <c r="H27" s="120"/>
      <c r="I27" s="120"/>
      <c r="J27" s="68"/>
      <c r="K27" s="118"/>
      <c r="L27" s="120"/>
    </row>
    <row r="28" spans="1:47" s="131" customFormat="1" ht="13.5" customHeight="1">
      <c r="A28" s="125" t="str">
        <f>txt!B138&amp;": "&amp;txt!B139</f>
        <v>Beispiel: Projektleiter</v>
      </c>
      <c r="B28" s="126"/>
      <c r="C28" s="127">
        <v>0.28000000000000003</v>
      </c>
      <c r="D28" s="128" t="s">
        <v>159</v>
      </c>
      <c r="E28" s="129">
        <v>160</v>
      </c>
      <c r="F28" s="129">
        <v>160</v>
      </c>
      <c r="G28" s="130"/>
      <c r="H28" s="209">
        <v>0.08</v>
      </c>
      <c r="I28" s="209">
        <v>0.05</v>
      </c>
      <c r="J28" s="130"/>
      <c r="K28" s="118"/>
    </row>
    <row r="29" spans="1:47" ht="7.5" customHeight="1">
      <c r="A29" s="69"/>
      <c r="B29" s="89"/>
      <c r="C29" s="120"/>
      <c r="D29" s="120"/>
      <c r="E29" s="120"/>
      <c r="F29" s="120"/>
      <c r="G29" s="68"/>
      <c r="H29" s="120"/>
      <c r="I29" s="120"/>
      <c r="J29" s="120"/>
      <c r="K29" s="118"/>
      <c r="L29" s="120"/>
    </row>
    <row r="30" spans="1:47" s="79" customFormat="1" ht="67.5" customHeight="1">
      <c r="A30" s="233" t="str">
        <f>txt!B112</f>
        <v>Mitarbeiter des 'Run'-Bereichs sind zum Beispiel System-Specialist, Helpdesk-Mitarbeiter, System-Administator, ICT-Supporter, System-Controller, Benutzer-Supporter, ICT-Techniker, ICT-System-Manager.</v>
      </c>
      <c r="B30" s="89"/>
      <c r="C30" s="339" t="str">
        <f>txt!B159</f>
        <v>Defintion "Kunde in der Schweiz": Adresse des Leistungsbezügers im Inland.</v>
      </c>
      <c r="D30" s="339"/>
      <c r="E30" s="339"/>
      <c r="F30" s="339"/>
      <c r="G30" s="132"/>
      <c r="H30" s="120"/>
      <c r="I30" s="120"/>
      <c r="J30" s="120"/>
      <c r="K30" s="120"/>
      <c r="L30" s="12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row>
    <row r="31" spans="1:47" ht="7.5" customHeight="1">
      <c r="A31" s="69"/>
      <c r="B31" s="69"/>
      <c r="C31" s="69"/>
      <c r="D31" s="69"/>
      <c r="E31" s="69"/>
      <c r="F31" s="69"/>
      <c r="G31" s="69"/>
      <c r="H31" s="120"/>
      <c r="I31" s="120"/>
      <c r="J31" s="120"/>
      <c r="K31" s="120"/>
      <c r="L31" s="120"/>
    </row>
    <row r="32" spans="1:47" ht="54" customHeight="1">
      <c r="A32" s="233" t="str">
        <f>txt!B145&amp;":
"&amp;txt!B146</f>
        <v>Stundenansätze:
Die ausgewiesenen Preise sollen den durchschnittlichen (über alle Kunden) effektiv verrechneten Stundenansätzen entsprechen (Rabatte sind separat auszuweisen).</v>
      </c>
      <c r="B32" s="89"/>
      <c r="C32" s="339" t="str">
        <f>txt!B169</f>
        <v>Die Preise sind ohne Mehrwertsteuer anzugeben.</v>
      </c>
      <c r="D32" s="339"/>
      <c r="E32" s="339"/>
      <c r="F32" s="339"/>
      <c r="G32" s="68"/>
      <c r="H32" s="120"/>
      <c r="I32" s="120"/>
      <c r="J32" s="120"/>
      <c r="K32" s="120"/>
      <c r="L32" s="120"/>
    </row>
    <row r="33" spans="1:12" ht="7.5" customHeight="1">
      <c r="A33" s="69"/>
      <c r="B33" s="89"/>
      <c r="C33" s="120"/>
      <c r="D33" s="120"/>
      <c r="E33" s="120"/>
      <c r="F33" s="120"/>
      <c r="G33" s="68"/>
      <c r="H33" s="120"/>
      <c r="I33" s="120"/>
      <c r="J33" s="120"/>
      <c r="K33" s="120"/>
      <c r="L33" s="120"/>
    </row>
    <row r="34" spans="1:12" ht="67.5" customHeight="1">
      <c r="B34" s="89"/>
      <c r="C34" s="339" t="str">
        <f>txt!B155</f>
        <v xml:space="preserve">Die Zeitanteile der angegebenen Qualifikationsstufen müssen sich zu 100% addieren. Gegebenenfalls nicht genannte Qualifikationsstufen sind bei den Zeitanteilen also nicht zu berücksichtigen.  </v>
      </c>
      <c r="D34" s="339"/>
      <c r="E34" s="339"/>
      <c r="F34" s="339"/>
      <c r="G34" s="68"/>
      <c r="L34" s="120"/>
    </row>
    <row r="35" spans="1:12" ht="13.5" customHeight="1">
      <c r="A35" s="69"/>
      <c r="B35" s="89"/>
      <c r="C35" s="120"/>
      <c r="D35" s="120"/>
      <c r="E35" s="120"/>
      <c r="F35" s="120"/>
      <c r="G35" s="68"/>
      <c r="H35" s="120"/>
      <c r="I35" s="120"/>
      <c r="J35" s="120"/>
      <c r="K35" s="120"/>
      <c r="L35" s="120"/>
    </row>
    <row r="36" spans="1:12" ht="13.5" customHeight="1">
      <c r="A36" s="69" t="str">
        <f>txt!B173&amp;":"</f>
        <v>Bemerkungen:</v>
      </c>
      <c r="B36" s="89"/>
      <c r="C36" s="120"/>
      <c r="D36" s="120"/>
      <c r="E36" s="120"/>
      <c r="F36" s="120"/>
      <c r="G36" s="68"/>
      <c r="H36" s="120"/>
      <c r="I36" s="120"/>
      <c r="J36" s="120"/>
      <c r="K36" s="120"/>
      <c r="L36" s="120"/>
    </row>
    <row r="37" spans="1:12" ht="54" customHeight="1">
      <c r="A37" s="344"/>
      <c r="B37" s="345"/>
      <c r="C37" s="345"/>
      <c r="D37" s="345"/>
      <c r="E37" s="345"/>
      <c r="F37" s="345"/>
      <c r="G37" s="345"/>
      <c r="H37" s="345"/>
      <c r="I37" s="345"/>
      <c r="J37" s="345"/>
      <c r="K37" s="346"/>
      <c r="L37" s="120"/>
    </row>
    <row r="38" spans="1:12" ht="13.5" customHeight="1">
      <c r="A38" s="80"/>
      <c r="B38" s="91"/>
      <c r="C38" s="91"/>
      <c r="D38" s="56"/>
      <c r="E38" s="56"/>
    </row>
    <row r="39" spans="1:12" ht="13.5" customHeight="1">
      <c r="A39" s="78">
        <f>Steuerung!E$31</f>
        <v>0</v>
      </c>
      <c r="C39" s="268" t="str">
        <f>txt!B221</f>
        <v>ZURÜCK</v>
      </c>
      <c r="H39" s="269" t="str">
        <f>IF(COUNTIF($A$17:$A$25,"")=9,"",IF(SUM($C$17:$C$25)&lt;&gt;1,"",IF(COUNTIF($D$17,"")=1,"",IF(COUNTIF($E$17:$E$25,"")=9,"",IF(COUNTIF($F$17:$F$25,"")=9,"",IF(COUNTIF($H$17:$H$25,"")=9,"",IF(COUNTIF($I$17:$I$25,"")=9,"",IF(A39=1,txt!$B$222,""))))))))</f>
        <v/>
      </c>
    </row>
    <row r="40" spans="1:12" ht="13.5" customHeight="1">
      <c r="A40" s="78"/>
      <c r="C40" s="62"/>
      <c r="H40" s="62"/>
    </row>
    <row r="41" spans="1:12" ht="13.5" customHeight="1">
      <c r="A41" s="78">
        <f>Steuerung!H$31</f>
        <v>0</v>
      </c>
      <c r="H41" s="269" t="str">
        <f>IF(COUNTIF($A$17:$A$25,"")=9,"",IF(SUM($C$17:$C$25)&lt;&gt;1,"",IF(COUNTIF($D$17,"")=1,"",IF(COUNTIF($E$17:$E$25,"")=9,"",IF(COUNTIF($F$17:$F$25,"")=9,"",IF(COUNTIF($H$17:$H$25,"")=9,"",IF(COUNTIF($I$17:$I$25,"")=9,"",IF(AND(A39=0,A41=1),txt!$B$222,""))))))))</f>
        <v/>
      </c>
    </row>
    <row r="42" spans="1:12" ht="13.5" customHeight="1">
      <c r="A42" s="78"/>
      <c r="H42" s="62"/>
    </row>
    <row r="43" spans="1:12" ht="13.5" customHeight="1">
      <c r="A43" s="78">
        <f>Steuerung!J$31</f>
        <v>0</v>
      </c>
      <c r="H43" s="269" t="str">
        <f>IF(COUNTIF($A$17:$A$25,"")=9,"",IF(SUM($C$17:$C$25)&lt;&gt;1,"",IF(COUNTIF($D$17,"")=1,"",IF(COUNTIF($E$17:$E$25,"")=9,"",IF(COUNTIF($F$17:$F$25,"")=9,"",IF(COUNTIF($H$17:$H$25,"")=9,"",IF(COUNTIF($I$17:$I$25,"")=9,"",IF(AND(A39=0,A41=0,A43=1),txt!$B$222,""))))))))</f>
        <v/>
      </c>
    </row>
    <row r="44" spans="1:12" ht="13.5" customHeight="1">
      <c r="A44" s="78"/>
      <c r="H44" s="62"/>
    </row>
    <row r="45" spans="1:12" ht="13.5" customHeight="1">
      <c r="A45" s="78">
        <f>Steuerung!L$31</f>
        <v>1</v>
      </c>
      <c r="H45" s="269" t="str">
        <f>IF(COUNTIF($A$17:$A$25,"")=9,"",IF(SUM($C$17:$C$25)&lt;&gt;1,"",IF(COUNTIF($D$17,"")=1,"",IF(COUNTIF($E$17:$E$25,"")=9,"",IF(COUNTIF($F$17:$F$25,"")=9,"",IF(COUNTIF($H$17:$H$25,"")=9,"",IF(COUNTIF($I$17:$I$25,"")=9,"",IF(AND(A39=0,A41=0,A43=0,A45=1),txt!$B$222,""))))))))</f>
        <v/>
      </c>
    </row>
    <row r="46" spans="1:12" ht="13.5" customHeight="1">
      <c r="A46" s="80"/>
      <c r="H46" s="62"/>
    </row>
    <row r="47" spans="1:12" ht="13.5" customHeight="1">
      <c r="A47" s="80"/>
      <c r="H47" s="62"/>
    </row>
    <row r="48" spans="1:12" ht="13.5" customHeight="1">
      <c r="A48" s="80"/>
    </row>
    <row r="49" spans="1:1">
      <c r="A49" s="80"/>
    </row>
    <row r="50" spans="1:1">
      <c r="A50" s="80"/>
    </row>
    <row r="51" spans="1:1">
      <c r="A51" s="80"/>
    </row>
  </sheetData>
  <sheetProtection algorithmName="SHA-512" hashValue="/6HOHHnQKVjeQUdboFbSrfipDyGfNzuqnNwjweaLQGT9KUpYUGLu/8MsvBE2DDiZMAPTqgpcf3U4NuowUtiwyg==" saltValue="fw3pfKJl7S6c06G6C8Z4rQ==" spinCount="100000" sheet="1" objects="1" scenarios="1"/>
  <mergeCells count="12">
    <mergeCell ref="C1:F1"/>
    <mergeCell ref="C32:F32"/>
    <mergeCell ref="C34:F34"/>
    <mergeCell ref="A37:K37"/>
    <mergeCell ref="A7:C7"/>
    <mergeCell ref="C2:F2"/>
    <mergeCell ref="C3:F3"/>
    <mergeCell ref="C30:F30"/>
    <mergeCell ref="A10:I10"/>
    <mergeCell ref="A11:I11"/>
    <mergeCell ref="C26:D26"/>
    <mergeCell ref="H7:K7"/>
  </mergeCells>
  <conditionalFormatting sqref="H12:K14 J15:K16">
    <cfRule type="expression" dxfId="50" priority="7">
      <formula>$A$38=1</formula>
    </cfRule>
  </conditionalFormatting>
  <conditionalFormatting sqref="H33:K34">
    <cfRule type="expression" dxfId="49" priority="4">
      <formula>$A$38=1</formula>
    </cfRule>
  </conditionalFormatting>
  <conditionalFormatting sqref="J29">
    <cfRule type="expression" dxfId="48" priority="2">
      <formula>$A$38=1</formula>
    </cfRule>
  </conditionalFormatting>
  <conditionalFormatting sqref="K17:K29">
    <cfRule type="expression" dxfId="47" priority="1">
      <formula>$A$38=1</formula>
    </cfRule>
  </conditionalFormatting>
  <dataValidations count="4">
    <dataValidation type="decimal" allowBlank="1" showInputMessage="1" showErrorMessage="1" sqref="C17:C25 H26:I26">
      <formula1>0</formula1>
      <formula2>1</formula2>
    </dataValidation>
    <dataValidation type="decimal" allowBlank="1" showInputMessage="1" showErrorMessage="1" sqref="I24 I18 I20 I22 H18 H20 H22 H24">
      <formula1>0</formula1>
      <formula2>0.99</formula2>
    </dataValidation>
    <dataValidation type="decimal" allowBlank="1" showInputMessage="1" showErrorMessage="1" error="Bitte geben Sie einen Wert zwischen 0% und 99% ein / Entrez une valeur entre 0% et 99%, s.v.p." sqref="H17:I17 H19:I19 H21:I21 H23:I23 H25:I25">
      <formula1>0</formula1>
      <formula2>0.99</formula2>
    </dataValidation>
    <dataValidation type="textLength" allowBlank="1" showInputMessage="1" showErrorMessage="1" error="Bitte verwenden Sie nicht mehr als 199 Zeichen / S.v.p. utilisez 199 caractères au maximum" sqref="A17 A19 A21 A23 A25">
      <formula1>0</formula1>
      <formula2>199</formula2>
    </dataValidation>
  </dataValidations>
  <hyperlinks>
    <hyperlink ref="C39" location="'30'!A1" display="'30'!A1"/>
    <hyperlink ref="H39" location="'31hEX'!A1" display="'31hEX'!A1"/>
    <hyperlink ref="H41" location="'32hCH'!A1" display="'32hCH'!A1"/>
    <hyperlink ref="H43" location="'4'!A1" display="'4'!A1"/>
    <hyperlink ref="H45" location="'5'!A1" display="'5'!A1"/>
  </hyperlinks>
  <pageMargins left="0.74803149606299213" right="0.74803149606299213" top="0.39370078740157483" bottom="0.19685039370078741" header="0.51181102362204722" footer="0.51181102362204722"/>
  <pageSetup paperSize="9" scale="84"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6" operator="equal" id="{690E9093-ADB8-1E44-8943-EDB406FEA661}">
            <xm:f>txt!$B$222</xm:f>
            <x14:dxf>
              <font>
                <u/>
                <color rgb="FF0000FF"/>
              </font>
              <fill>
                <patternFill patternType="solid">
                  <fgColor indexed="64"/>
                  <bgColor rgb="FFFFFF00"/>
                </patternFill>
              </fill>
            </x14:dxf>
          </x14:cfRule>
          <xm:sqref>H39:H47</xm:sqref>
        </x14:conditionalFormatting>
      </x14:conditionalFormattings>
    </ex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theme="8" tint="0.39997558519241921"/>
    <pageSetUpPr fitToPage="1"/>
  </sheetPr>
  <dimension ref="A1:AU48"/>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373" t="str">
        <f>txt!B47&amp;": "&amp;txt!B51</f>
        <v>Geschäftsfeld: Betrieb-, Support-, Installations- und Wartungsleistungen</v>
      </c>
      <c r="B7" s="373"/>
      <c r="C7" s="373"/>
      <c r="D7" s="63"/>
      <c r="E7" s="63"/>
      <c r="F7" s="63"/>
      <c r="G7" s="63"/>
      <c r="H7" s="349" t="str">
        <f>" "&amp;REPT("|",INT(Steuerung!AF31*107))</f>
        <v xml:space="preserve"> </v>
      </c>
      <c r="I7" s="350"/>
      <c r="J7" s="350"/>
      <c r="K7" s="351"/>
      <c r="L7" s="63"/>
    </row>
    <row r="8" spans="1:16" ht="13.5" customHeight="1">
      <c r="A8" s="63" t="str">
        <f>txt!B48&amp;": "&amp;txt!B60</f>
        <v>Dienstleistungstyp: Betrieb, Support &amp; Wartung</v>
      </c>
      <c r="B8" s="63"/>
      <c r="C8" s="63"/>
      <c r="D8" s="63"/>
      <c r="E8" s="63"/>
      <c r="F8" s="63"/>
      <c r="G8" s="63"/>
      <c r="H8" s="63"/>
      <c r="I8" s="63"/>
      <c r="J8" s="63"/>
      <c r="K8" s="65" t="str">
        <f>IF(COUNTIF($A$17:$A$25,"")=9,txt!B228,IF(SUM($C$17:$C$25)&lt;&gt;1,txt!B227,IF(COUNTIF($D$17,"")=1,txt!B235,IF(COUNTIF($E$17:$E$25,"")=9,txt!B233,IF(COUNTIF($F$17:$F$25,"")=9,txt!B234,IF(COUNTIF($H$17:$H$25,"")=9,txt!B251,IF(COUNTIF($I$17:$I$25,"")=9,txt!B251,"")))))))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txt!B158</f>
        <v>Kunde im Ausland</v>
      </c>
      <c r="H13" s="57"/>
    </row>
    <row r="14" spans="1:16" ht="13.5" customHeight="1"/>
    <row r="15" spans="1:16" ht="13.5" customHeight="1">
      <c r="A15" s="69" t="str">
        <f>txt!B111&amp;"-"&amp;txt!B113</f>
        <v>Run-Bereich</v>
      </c>
      <c r="B15" s="89"/>
      <c r="C15" s="118"/>
      <c r="D15" s="118"/>
      <c r="E15" s="118" t="str">
        <f>txt!B23</f>
        <v>März 2022</v>
      </c>
      <c r="F15" s="118" t="str">
        <f>txt!B24</f>
        <v>März 2021</v>
      </c>
      <c r="G15" s="119"/>
      <c r="H15" s="118" t="str">
        <f>E15</f>
        <v>März 2022</v>
      </c>
      <c r="I15" s="118" t="str">
        <f>F15</f>
        <v>März 2021</v>
      </c>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row>
    <row r="17" spans="1:47" ht="13.5" customHeight="1">
      <c r="A17" s="281" t="s">
        <v>662</v>
      </c>
      <c r="B17" s="89"/>
      <c r="C17" s="266"/>
      <c r="D17" s="305"/>
      <c r="E17" s="283"/>
      <c r="F17" s="283"/>
      <c r="G17" s="68"/>
      <c r="H17" s="266"/>
      <c r="I17" s="266"/>
      <c r="J17" s="68"/>
    </row>
    <row r="18" spans="1:47" ht="7.5" customHeight="1">
      <c r="A18" s="60"/>
      <c r="B18" s="89"/>
      <c r="C18" s="120"/>
      <c r="D18" s="120"/>
      <c r="E18" s="122"/>
      <c r="F18" s="122"/>
      <c r="G18" s="68"/>
      <c r="H18" s="120"/>
      <c r="I18" s="120"/>
      <c r="J18" s="120"/>
    </row>
    <row r="19" spans="1:47" ht="13.5" customHeight="1">
      <c r="A19" s="281" t="s">
        <v>663</v>
      </c>
      <c r="B19" s="89"/>
      <c r="C19" s="266"/>
      <c r="D19" s="121" t="str">
        <f>IF(C19="","",D17)</f>
        <v/>
      </c>
      <c r="E19" s="283"/>
      <c r="F19" s="283"/>
      <c r="G19" s="68"/>
      <c r="H19" s="266"/>
      <c r="I19" s="266"/>
      <c r="J19" s="68"/>
    </row>
    <row r="20" spans="1:47" ht="7.5" customHeight="1">
      <c r="A20" s="60"/>
      <c r="B20" s="89"/>
      <c r="C20" s="120"/>
      <c r="D20" s="120"/>
      <c r="E20" s="122"/>
      <c r="F20" s="122"/>
      <c r="G20" s="68"/>
      <c r="H20" s="120"/>
      <c r="I20" s="120"/>
      <c r="J20" s="122"/>
    </row>
    <row r="21" spans="1:47" ht="13.5" customHeight="1">
      <c r="A21" s="281" t="s">
        <v>664</v>
      </c>
      <c r="B21" s="89"/>
      <c r="C21" s="266"/>
      <c r="D21" s="121" t="str">
        <f>IF(C21="","",D19)</f>
        <v/>
      </c>
      <c r="E21" s="283"/>
      <c r="F21" s="283"/>
      <c r="G21" s="68"/>
      <c r="H21" s="266"/>
      <c r="I21" s="266"/>
      <c r="J21" s="68"/>
    </row>
    <row r="22" spans="1:47" ht="7.5" customHeight="1">
      <c r="A22" s="60"/>
      <c r="B22" s="89"/>
      <c r="C22" s="120"/>
      <c r="D22" s="120"/>
      <c r="E22" s="122"/>
      <c r="F22" s="122"/>
      <c r="G22" s="68"/>
      <c r="H22" s="120"/>
      <c r="I22" s="120"/>
      <c r="J22" s="122"/>
    </row>
    <row r="23" spans="1:47" ht="13.5" customHeight="1">
      <c r="A23" s="281"/>
      <c r="B23" s="89"/>
      <c r="C23" s="266"/>
      <c r="D23" s="121" t="str">
        <f>IF(C23="","",D21)</f>
        <v/>
      </c>
      <c r="E23" s="283"/>
      <c r="F23" s="283"/>
      <c r="G23" s="68"/>
      <c r="H23" s="266"/>
      <c r="I23" s="266"/>
      <c r="J23" s="68"/>
    </row>
    <row r="24" spans="1:47" ht="7.5" customHeight="1">
      <c r="A24" s="60"/>
      <c r="B24" s="89"/>
      <c r="C24" s="120"/>
      <c r="D24" s="122"/>
      <c r="E24" s="122"/>
      <c r="F24" s="122"/>
      <c r="G24" s="68"/>
      <c r="H24" s="120"/>
      <c r="I24" s="120"/>
      <c r="J24" s="122"/>
    </row>
    <row r="25" spans="1:47" ht="13.5" customHeight="1">
      <c r="A25" s="281"/>
      <c r="B25" s="89"/>
      <c r="C25" s="266"/>
      <c r="D25" s="121" t="str">
        <f>IF(C25="","",D23)</f>
        <v/>
      </c>
      <c r="E25" s="283"/>
      <c r="F25" s="283"/>
      <c r="G25" s="68"/>
      <c r="H25" s="266"/>
      <c r="I25" s="266"/>
      <c r="J25" s="68"/>
    </row>
    <row r="26" spans="1:47" ht="13.5" customHeight="1">
      <c r="A26" s="69"/>
      <c r="B26" s="89"/>
      <c r="C26" s="356" t="str">
        <f>SUM(C17:C25)*100&amp;txt!$B$224</f>
        <v>0% von 100% zugeteilt</v>
      </c>
      <c r="D26" s="356"/>
      <c r="E26" s="120"/>
      <c r="F26" s="120"/>
      <c r="G26" s="68"/>
      <c r="H26" s="120"/>
      <c r="I26" s="120"/>
      <c r="J26" s="120"/>
    </row>
    <row r="27" spans="1:47" ht="13.5" customHeight="1">
      <c r="A27" s="69"/>
      <c r="B27" s="89"/>
      <c r="C27" s="120"/>
      <c r="D27" s="120"/>
      <c r="E27" s="120"/>
      <c r="F27" s="120"/>
      <c r="G27" s="68"/>
      <c r="H27" s="120"/>
      <c r="I27" s="120"/>
      <c r="J27" s="120"/>
    </row>
    <row r="28" spans="1:47" s="131" customFormat="1" ht="13.5" customHeight="1">
      <c r="A28" s="125" t="str">
        <f>txt!B138&amp;": "&amp;txt!B139</f>
        <v>Beispiel: Projektleiter</v>
      </c>
      <c r="B28" s="126"/>
      <c r="C28" s="127">
        <v>0.28000000000000003</v>
      </c>
      <c r="D28" s="128" t="s">
        <v>159</v>
      </c>
      <c r="E28" s="129">
        <v>160</v>
      </c>
      <c r="F28" s="129">
        <v>160</v>
      </c>
      <c r="G28" s="130"/>
      <c r="H28" s="209">
        <v>0.08</v>
      </c>
      <c r="I28" s="209">
        <v>0.05</v>
      </c>
      <c r="J28" s="130"/>
      <c r="K28" s="120"/>
    </row>
    <row r="29" spans="1:47" ht="7.5" customHeight="1">
      <c r="A29" s="69"/>
      <c r="B29" s="89"/>
      <c r="C29" s="120"/>
      <c r="D29" s="120"/>
      <c r="E29" s="120"/>
      <c r="F29" s="120"/>
      <c r="G29" s="68"/>
      <c r="H29" s="120"/>
      <c r="I29" s="120"/>
      <c r="J29" s="120"/>
      <c r="K29" s="120"/>
      <c r="L29" s="120"/>
    </row>
    <row r="30" spans="1:47" s="79" customFormat="1" ht="67.5" customHeight="1">
      <c r="A30" s="233" t="str">
        <f>txt!B112</f>
        <v>Mitarbeiter des 'Run'-Bereichs sind zum Beispiel System-Specialist, Helpdesk-Mitarbeiter, System-Administator, ICT-Supporter, System-Controller, Benutzer-Supporter, ICT-Techniker, ICT-System-Manager.</v>
      </c>
      <c r="B30" s="89"/>
      <c r="C30" s="339" t="str">
        <f>txt!B160</f>
        <v>Definition "Kunde im Ausland": Adresse des Leistungsbezügers im Ausland.</v>
      </c>
      <c r="D30" s="339"/>
      <c r="E30" s="339"/>
      <c r="F30" s="339"/>
      <c r="G30" s="132"/>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row>
    <row r="31" spans="1:47" ht="7.5" customHeight="1">
      <c r="A31" s="69"/>
      <c r="B31" s="69"/>
      <c r="C31" s="69"/>
      <c r="D31" s="69"/>
      <c r="E31" s="69"/>
      <c r="F31" s="69"/>
      <c r="G31" s="69"/>
    </row>
    <row r="32" spans="1:47" ht="54" customHeight="1">
      <c r="A32" s="233" t="str">
        <f>txt!B145&amp;":
"&amp;txt!B146</f>
        <v>Stundenansätze:
Die ausgewiesenen Preise sollen den durchschnittlichen (über alle Kunden) effektiv verrechneten Stundenansätzen entsprechen (Rabatte sind separat auszuweisen).</v>
      </c>
      <c r="B32" s="89"/>
      <c r="C32" s="339" t="str">
        <f>txt!B169</f>
        <v>Die Preise sind ohne Mehrwertsteuer anzugeben.</v>
      </c>
      <c r="D32" s="339"/>
      <c r="E32" s="339"/>
      <c r="F32" s="339"/>
      <c r="G32" s="68"/>
    </row>
    <row r="33" spans="1:12" ht="7.5" customHeight="1">
      <c r="A33" s="69"/>
      <c r="B33" s="89"/>
      <c r="C33" s="120"/>
      <c r="D33" s="120"/>
      <c r="E33" s="120"/>
      <c r="F33" s="120"/>
      <c r="G33" s="68"/>
    </row>
    <row r="34" spans="1:12" ht="67.5" customHeight="1">
      <c r="A34" s="120"/>
      <c r="B34" s="89"/>
      <c r="C34" s="339" t="str">
        <f>txt!B155</f>
        <v xml:space="preserve">Die Zeitanteile der angegebenen Qualifikationsstufen müssen sich zu 100% addieren. Gegebenenfalls nicht genannte Qualifikationsstufen sind bei den Zeitanteilen also nicht zu berücksichtigen.  </v>
      </c>
      <c r="D34" s="339"/>
      <c r="E34" s="339"/>
      <c r="F34" s="339"/>
      <c r="G34" s="68"/>
    </row>
    <row r="35" spans="1:12" ht="13.5" customHeight="1">
      <c r="A35" s="69"/>
      <c r="B35" s="89"/>
      <c r="C35" s="120"/>
      <c r="D35" s="120"/>
      <c r="E35" s="120"/>
      <c r="F35" s="120"/>
      <c r="G35" s="68"/>
      <c r="H35" s="120"/>
      <c r="I35" s="120"/>
      <c r="J35" s="120"/>
      <c r="K35" s="120"/>
      <c r="L35" s="120"/>
    </row>
    <row r="36" spans="1:12" ht="13.5" customHeight="1">
      <c r="A36" s="69" t="str">
        <f>txt!B173&amp;":"</f>
        <v>Bemerkungen:</v>
      </c>
      <c r="B36" s="89"/>
      <c r="C36" s="120"/>
      <c r="D36" s="120"/>
      <c r="E36" s="120"/>
      <c r="F36" s="120"/>
      <c r="G36" s="68"/>
      <c r="H36" s="120"/>
      <c r="I36" s="120"/>
      <c r="J36" s="120"/>
      <c r="K36" s="120"/>
      <c r="L36" s="120"/>
    </row>
    <row r="37" spans="1:12" ht="54" customHeight="1">
      <c r="A37" s="344"/>
      <c r="B37" s="345"/>
      <c r="C37" s="345"/>
      <c r="D37" s="345"/>
      <c r="E37" s="345"/>
      <c r="F37" s="345"/>
      <c r="G37" s="345"/>
      <c r="H37" s="345"/>
      <c r="I37" s="345"/>
      <c r="J37" s="345"/>
      <c r="K37" s="346"/>
      <c r="L37" s="120"/>
    </row>
    <row r="38" spans="1:12" ht="13.5" customHeight="1">
      <c r="A38" s="78"/>
      <c r="B38" s="91"/>
      <c r="C38" s="91"/>
      <c r="D38" s="56"/>
      <c r="E38" s="56"/>
    </row>
    <row r="39" spans="1:12" ht="13.5" customHeight="1">
      <c r="A39" s="78">
        <f>Steuerung!H$31</f>
        <v>0</v>
      </c>
      <c r="C39" s="268" t="str">
        <f>txt!B221</f>
        <v>ZURÜCK</v>
      </c>
      <c r="H39" s="269" t="str">
        <f>IF(COUNTIF($A$17:$A$25,"")=9,"",IF(SUM($C$17:$C$25)&lt;&gt;1,"",IF(COUNTIF($D$17,"")=1,"",IF(COUNTIF($E$17:$E$25,"")=9,"",IF(COUNTIF($F$17:$F$25,"")=9,"",IF(COUNTIF($H$17:$H$25,"")=9,"",IF(COUNTIF($I$17:$I$25,"")=9,"",IF(A39=1,txt!$B$222,""))))))))</f>
        <v/>
      </c>
    </row>
    <row r="40" spans="1:12" ht="13.5" customHeight="1">
      <c r="A40" s="78"/>
      <c r="C40" s="62"/>
      <c r="H40" s="62"/>
    </row>
    <row r="41" spans="1:12" ht="13.5" customHeight="1">
      <c r="A41" s="78">
        <f>Steuerung!J$31</f>
        <v>0</v>
      </c>
      <c r="H41" s="269" t="str">
        <f>IF(COUNTIF($A$17:$A$25,"")=9,"",IF(SUM($C$17:$C$25)&lt;&gt;1,"",IF(COUNTIF($D$17,"")=1,"",IF(COUNTIF($E$17:$E$25,"")=9,"",IF(COUNTIF($F$17:$F$25,"")=9,"",IF(COUNTIF($H$17:$H$25,"")=9,"",IF(COUNTIF($I$17:$I$25,"")=9,"",IF(AND(A39=0,A41=1),txt!$B$222,""))))))))</f>
        <v/>
      </c>
    </row>
    <row r="42" spans="1:12" ht="13.5" customHeight="1">
      <c r="A42" s="78"/>
      <c r="H42" s="62"/>
    </row>
    <row r="43" spans="1:12" ht="13.5" customHeight="1">
      <c r="A43" s="78">
        <f>Steuerung!L$31</f>
        <v>1</v>
      </c>
      <c r="H43" s="269" t="str">
        <f>IF(COUNTIF($A$17:$A$25,"")=9,"",IF(SUM($C$17:$C$25)&lt;&gt;1,"",IF(COUNTIF($D$17,"")=1,"",IF(COUNTIF($E$17:$E$25,"")=9,"",IF(COUNTIF($F$17:$F$25,"")=9,"",IF(COUNTIF($H$17:$H$25,"")=9,"",IF(COUNTIF($I$17:$I$25,"")=9,"",IF(AND(A39=0,A41=0,A43=1),txt!$B$222,""))))))))</f>
        <v/>
      </c>
    </row>
    <row r="44" spans="1:12" ht="13.5" customHeight="1">
      <c r="A44" s="78"/>
      <c r="H44" s="62"/>
    </row>
    <row r="45" spans="1:12" ht="13.5" customHeight="1">
      <c r="A45" s="78">
        <f>Steuerung!N$6</f>
        <v>0</v>
      </c>
      <c r="H45" s="62"/>
    </row>
    <row r="46" spans="1:12" ht="13.5" customHeight="1">
      <c r="A46" s="78"/>
      <c r="H46" s="62"/>
    </row>
    <row r="47" spans="1:12" ht="13.5" customHeight="1">
      <c r="A47" s="78">
        <f>Steuerung!P$6</f>
        <v>1</v>
      </c>
      <c r="H47" s="182"/>
    </row>
    <row r="48" spans="1:12" ht="13.5" customHeight="1"/>
  </sheetData>
  <sheetProtection algorithmName="SHA-512" hashValue="LIzbInXuG2i0hadWt4+p2KnP3h5mWmId1D8LKMEVejvwZSsO+Tsev8U/Js6wvBalsBA0Ijnkj4ZZox4bT/3+Dw==" saltValue="N8S7DQdFRhzHkW6MbphxDA==" spinCount="100000" sheet="1" objects="1" scenarios="1"/>
  <mergeCells count="12">
    <mergeCell ref="C34:F34"/>
    <mergeCell ref="A37:K37"/>
    <mergeCell ref="A7:C7"/>
    <mergeCell ref="C26:D26"/>
    <mergeCell ref="C30:F30"/>
    <mergeCell ref="C32:F32"/>
    <mergeCell ref="A11:I11"/>
    <mergeCell ref="C1:F1"/>
    <mergeCell ref="C2:F2"/>
    <mergeCell ref="C3:F3"/>
    <mergeCell ref="H7:K7"/>
    <mergeCell ref="A10:I10"/>
  </mergeCells>
  <dataValidations count="4">
    <dataValidation type="decimal" allowBlank="1" showInputMessage="1" showErrorMessage="1" sqref="C17:C25 J18 H26:I26">
      <formula1>0</formula1>
      <formula2>1</formula2>
    </dataValidation>
    <dataValidation type="decimal" allowBlank="1" showInputMessage="1" showErrorMessage="1" sqref="I24 I18 I20 I22 H18 H20 H22 H24">
      <formula1>0</formula1>
      <formula2>0.99</formula2>
    </dataValidation>
    <dataValidation type="decimal" allowBlank="1" showInputMessage="1" showErrorMessage="1" error="Bitte geben Sie einen Wert zwischen 0% und 99% ein / Entrez une valeur entre 0% et 99%, s.v.p." sqref="I17 H25:I25 H19:I19 H21:I21 H23:I23 H17">
      <formula1>0</formula1>
      <formula2>0.99</formula2>
    </dataValidation>
    <dataValidation type="textLength" allowBlank="1" showInputMessage="1" showErrorMessage="1" error="Bitte verwenden Sie nicht mehr als 199 Zeichen / S.v.p. utilisez 199 caractères au maximum" sqref="A17 A19 A21 A23 A25">
      <formula1>0</formula1>
      <formula2>199</formula2>
    </dataValidation>
  </dataValidations>
  <hyperlinks>
    <hyperlink ref="C39" location="'31hCH'!A1" display="'31hCH'!A1"/>
    <hyperlink ref="H39" location="'32hCH'!A1" display="'32hCH'!A1"/>
    <hyperlink ref="H41" location="'4'!A1" display="'4'!A1"/>
    <hyperlink ref="H43" location="'5'!A1" display="'5'!A1"/>
  </hyperlinks>
  <pageMargins left="0.74803149606299213" right="0.74803149606299213" top="0.39370078740157483" bottom="0.19685039370078741" header="0.51181102362204722" footer="0.51181102362204722"/>
  <pageSetup paperSize="9" scale="84"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3" operator="equal" id="{E5ECE74A-91DD-154A-BFAB-B4C88DE0DD0A}">
            <xm:f>txt!$B$222</xm:f>
            <x14:dxf>
              <font>
                <u/>
                <color rgb="FF0000FF"/>
              </font>
              <fill>
                <patternFill patternType="solid">
                  <fgColor indexed="64"/>
                  <bgColor rgb="FFFFFF00"/>
                </patternFill>
              </fill>
            </x14:dxf>
          </x14:cfRule>
          <xm:sqref>H46:H47</xm:sqref>
        </x14:conditionalFormatting>
        <x14:conditionalFormatting xmlns:xm="http://schemas.microsoft.com/office/excel/2006/main">
          <x14:cfRule type="cellIs" priority="1" operator="equal" id="{A7B0CA9D-ED8A-E546-A569-102745DAA9B7}">
            <xm:f>txt!$B$222</xm:f>
            <x14:dxf>
              <font>
                <u/>
                <color rgb="FF0000FF"/>
              </font>
              <fill>
                <patternFill patternType="solid">
                  <fgColor indexed="64"/>
                  <bgColor rgb="FFFFFF00"/>
                </patternFill>
              </fill>
            </x14:dxf>
          </x14:cfRule>
          <xm:sqref>H39:H45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D17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FF00"/>
    <pageSetUpPr fitToPage="1"/>
  </sheetPr>
  <dimension ref="A1:K40"/>
  <sheetViews>
    <sheetView zoomScaleNormal="100" workbookViewId="0">
      <selection activeCell="D12" sqref="D12"/>
    </sheetView>
  </sheetViews>
  <sheetFormatPr baseColWidth="10" defaultColWidth="10.6640625" defaultRowHeight="13.5"/>
  <cols>
    <col min="1" max="1" width="50.6640625" style="254" customWidth="1"/>
    <col min="2" max="2" width="2.6640625" style="254" customWidth="1"/>
    <col min="3" max="3" width="8.6640625" style="254" customWidth="1"/>
    <col min="4" max="4" width="24.6640625" style="254" customWidth="1"/>
    <col min="5" max="5" width="2.6640625" style="254" customWidth="1"/>
    <col min="6" max="6" width="32.6640625" style="254" customWidth="1"/>
    <col min="7" max="7" width="6" style="254" bestFit="1" customWidth="1"/>
    <col min="8" max="8" width="13.33203125" style="254" bestFit="1" customWidth="1"/>
    <col min="9" max="9" width="7.33203125" style="254" bestFit="1" customWidth="1"/>
    <col min="10" max="10" width="7.88671875" style="254" bestFit="1" customWidth="1"/>
    <col min="11" max="16384" width="10.6640625" style="254"/>
  </cols>
  <sheetData>
    <row r="1" spans="1:11" ht="15" customHeight="1">
      <c r="A1" s="245"/>
      <c r="B1" s="325" t="str">
        <f>txt!$B$42</f>
        <v>Preiserhebung</v>
      </c>
      <c r="C1" s="325"/>
      <c r="D1" s="325"/>
      <c r="E1" s="325"/>
      <c r="F1" s="246" t="str">
        <f>txt!$B$175</f>
        <v>Eidg. Departement des Innern</v>
      </c>
    </row>
    <row r="2" spans="1:11" ht="15" customHeight="1">
      <c r="A2" s="245"/>
      <c r="B2" s="325" t="str">
        <f>txt!$B$43</f>
        <v>Produzentenpreisindex</v>
      </c>
      <c r="C2" s="325"/>
      <c r="D2" s="325"/>
      <c r="E2" s="325"/>
      <c r="F2" s="246" t="str">
        <f>txt!$B$176</f>
        <v>Bundesamt für Statistik BFS</v>
      </c>
    </row>
    <row r="3" spans="1:11" ht="15" customHeight="1">
      <c r="A3" s="245"/>
      <c r="B3" s="326" t="str">
        <f>txt!$B$44</f>
        <v>Informatikdienstleistungen</v>
      </c>
      <c r="C3" s="326"/>
      <c r="D3" s="326"/>
      <c r="E3" s="326"/>
      <c r="F3" s="248" t="str">
        <f>txt!$B$177</f>
        <v>Abt. Wirtschaft, Sektion PREIS</v>
      </c>
    </row>
    <row r="4" spans="1:11" ht="13.5" customHeight="1">
      <c r="A4" s="245"/>
      <c r="B4" s="245"/>
      <c r="C4" s="245"/>
      <c r="D4" s="245"/>
      <c r="E4" s="245"/>
      <c r="F4" s="245"/>
    </row>
    <row r="5" spans="1:11" s="259" customFormat="1" ht="13.5" customHeight="1">
      <c r="A5" s="255"/>
      <c r="B5" s="255"/>
      <c r="C5" s="255"/>
      <c r="D5" s="255"/>
      <c r="E5" s="255"/>
      <c r="F5" s="256" t="str">
        <f>txt!B45</f>
        <v/>
      </c>
      <c r="G5" s="257"/>
      <c r="H5" s="257"/>
      <c r="I5" s="257"/>
      <c r="J5" s="258"/>
      <c r="K5" s="257"/>
    </row>
    <row r="6" spans="1:11" ht="13.5" customHeight="1">
      <c r="A6" s="245"/>
      <c r="B6" s="245"/>
      <c r="C6" s="245"/>
      <c r="D6" s="245"/>
      <c r="E6" s="245"/>
      <c r="F6" s="245"/>
    </row>
    <row r="7" spans="1:11" ht="13.5" customHeight="1">
      <c r="A7" s="245"/>
      <c r="B7" s="245"/>
      <c r="C7" s="245"/>
      <c r="D7" s="245"/>
      <c r="E7" s="245"/>
      <c r="F7" s="245"/>
    </row>
    <row r="8" spans="1:11" ht="13.5" customHeight="1">
      <c r="A8" s="245" t="s">
        <v>720</v>
      </c>
      <c r="B8" s="245"/>
      <c r="C8" s="245"/>
      <c r="D8" s="313">
        <v>0</v>
      </c>
      <c r="E8" s="245"/>
      <c r="F8" s="260" t="str">
        <f>IF(AND(OR(D12&lt;&gt;"",COUNTIF(D16:D24,"")=4),COUNTIF(D30:D36,"")=3),"",txt!B225)</f>
        <v>Bitte füllen Sie alle Felder aus (ausser PMS Nr.)</v>
      </c>
      <c r="H8" s="261"/>
    </row>
    <row r="9" spans="1:11" ht="13.5" customHeight="1">
      <c r="A9" s="245"/>
      <c r="B9" s="245"/>
      <c r="C9" s="245"/>
      <c r="D9" s="312"/>
      <c r="E9" s="245"/>
      <c r="F9" s="245"/>
    </row>
    <row r="10" spans="1:11" ht="13.5" customHeight="1">
      <c r="A10" s="262" t="str">
        <f>txt!B28</f>
        <v>Angaben zur Firma</v>
      </c>
      <c r="B10" s="262"/>
      <c r="C10" s="262"/>
      <c r="D10" s="262"/>
      <c r="E10" s="262"/>
      <c r="F10" s="262"/>
    </row>
    <row r="11" spans="1:11" s="264" customFormat="1" ht="6.95" customHeight="1">
      <c r="A11" s="263"/>
      <c r="B11" s="263"/>
      <c r="C11" s="252"/>
      <c r="D11" s="238"/>
      <c r="E11" s="245"/>
      <c r="F11" s="245"/>
      <c r="G11" s="254"/>
      <c r="H11" s="254"/>
      <c r="I11" s="254"/>
    </row>
    <row r="12" spans="1:11" ht="13.5" customHeight="1">
      <c r="A12" s="265" t="str">
        <f>txt!B29</f>
        <v>Unternehmens-Identifikationsnummer (UID)</v>
      </c>
      <c r="B12" s="239"/>
      <c r="C12" s="245"/>
      <c r="D12" s="316"/>
      <c r="E12" s="245"/>
      <c r="F12" s="245"/>
    </row>
    <row r="13" spans="1:11" ht="6.95" customHeight="1">
      <c r="A13" s="265"/>
      <c r="B13" s="239"/>
      <c r="C13" s="245"/>
      <c r="D13" s="240"/>
      <c r="E13" s="245"/>
      <c r="F13" s="245"/>
    </row>
    <row r="14" spans="1:11" ht="13.5" customHeight="1">
      <c r="A14" s="265"/>
      <c r="B14" s="239"/>
      <c r="C14" s="245"/>
      <c r="D14" s="308" t="s">
        <v>693</v>
      </c>
      <c r="E14" s="245"/>
      <c r="F14" s="245"/>
    </row>
    <row r="15" spans="1:11" ht="7.5" customHeight="1">
      <c r="A15" s="239"/>
      <c r="B15" s="239"/>
      <c r="C15" s="245"/>
      <c r="D15" s="240"/>
      <c r="E15" s="245"/>
      <c r="F15" s="245"/>
    </row>
    <row r="16" spans="1:11">
      <c r="A16" s="265" t="str">
        <f>txt!B31</f>
        <v>Firmenname</v>
      </c>
      <c r="B16" s="239"/>
      <c r="C16" s="245"/>
      <c r="D16" s="266"/>
      <c r="E16" s="245"/>
      <c r="F16" s="245"/>
    </row>
    <row r="17" spans="1:6" ht="7.5" customHeight="1">
      <c r="A17" s="239"/>
      <c r="B17" s="239"/>
      <c r="C17" s="245"/>
      <c r="D17" s="240"/>
      <c r="E17" s="245"/>
      <c r="F17" s="245"/>
    </row>
    <row r="18" spans="1:6" ht="13.5" customHeight="1">
      <c r="A18" s="265" t="str">
        <f>txt!B32</f>
        <v>Strasse</v>
      </c>
      <c r="B18" s="239"/>
      <c r="C18" s="245"/>
      <c r="D18" s="266"/>
      <c r="E18" s="245"/>
      <c r="F18" s="245"/>
    </row>
    <row r="19" spans="1:6" ht="7.5" customHeight="1">
      <c r="A19" s="239"/>
      <c r="B19" s="239"/>
      <c r="C19" s="245"/>
      <c r="D19" s="240"/>
      <c r="E19" s="245"/>
      <c r="F19" s="245"/>
    </row>
    <row r="20" spans="1:6" ht="13.5" customHeight="1">
      <c r="A20" s="265" t="str">
        <f>txt!B33</f>
        <v>Hausnummer</v>
      </c>
      <c r="B20" s="239"/>
      <c r="C20" s="245"/>
      <c r="D20" s="267"/>
      <c r="E20" s="245"/>
      <c r="F20" s="245"/>
    </row>
    <row r="21" spans="1:6" ht="7.5" customHeight="1">
      <c r="A21" s="239"/>
      <c r="B21" s="239"/>
      <c r="C21" s="245"/>
      <c r="D21" s="240"/>
      <c r="E21" s="245"/>
      <c r="F21" s="245"/>
    </row>
    <row r="22" spans="1:6" ht="13.5" customHeight="1">
      <c r="A22" s="265" t="str">
        <f>txt!B34</f>
        <v>PLZ</v>
      </c>
      <c r="B22" s="239"/>
      <c r="C22" s="245"/>
      <c r="D22" s="267"/>
      <c r="E22" s="245"/>
      <c r="F22" s="245"/>
    </row>
    <row r="23" spans="1:6" ht="7.5" customHeight="1">
      <c r="A23" s="239"/>
      <c r="B23" s="239"/>
      <c r="C23" s="245"/>
      <c r="D23" s="240"/>
      <c r="E23" s="245"/>
      <c r="F23" s="245"/>
    </row>
    <row r="24" spans="1:6" ht="13.5" customHeight="1">
      <c r="A24" s="265" t="str">
        <f>txt!B35</f>
        <v>Ort</v>
      </c>
      <c r="B24" s="239"/>
      <c r="C24" s="245"/>
      <c r="D24" s="266"/>
      <c r="E24" s="245"/>
      <c r="F24" s="245"/>
    </row>
    <row r="25" spans="1:6" ht="7.5" customHeight="1">
      <c r="A25" s="239"/>
      <c r="B25" s="239"/>
      <c r="C25" s="245"/>
      <c r="D25" s="240"/>
      <c r="E25" s="245"/>
      <c r="F25" s="245"/>
    </row>
    <row r="26" spans="1:6" ht="13.5" customHeight="1">
      <c r="A26" s="245"/>
      <c r="B26" s="245"/>
      <c r="C26" s="245"/>
      <c r="D26" s="245"/>
      <c r="E26" s="245"/>
      <c r="F26" s="245"/>
    </row>
    <row r="27" spans="1:6" ht="7.5" customHeight="1">
      <c r="A27" s="239"/>
      <c r="B27" s="239"/>
      <c r="C27" s="245"/>
      <c r="D27" s="240"/>
      <c r="E27" s="245"/>
      <c r="F27" s="245"/>
    </row>
    <row r="28" spans="1:6" ht="13.5" customHeight="1">
      <c r="A28" s="262" t="str">
        <f>txt!B36</f>
        <v>Ansprechperson</v>
      </c>
      <c r="B28" s="239"/>
      <c r="C28" s="245"/>
      <c r="D28" s="245"/>
      <c r="E28" s="245"/>
      <c r="F28" s="245"/>
    </row>
    <row r="29" spans="1:6" ht="7.5" customHeight="1">
      <c r="A29" s="239"/>
      <c r="B29" s="239"/>
      <c r="C29" s="245"/>
      <c r="D29" s="240"/>
      <c r="E29" s="245"/>
      <c r="F29" s="245"/>
    </row>
    <row r="30" spans="1:6" ht="13.5" customHeight="1">
      <c r="A30" s="265" t="str">
        <f>txt!B37</f>
        <v>Vorname</v>
      </c>
      <c r="B30" s="239"/>
      <c r="C30" s="245"/>
      <c r="D30" s="266"/>
      <c r="E30" s="245"/>
      <c r="F30" s="245"/>
    </row>
    <row r="31" spans="1:6" ht="7.5" customHeight="1">
      <c r="A31" s="239"/>
      <c r="B31" s="239"/>
      <c r="C31" s="245"/>
      <c r="D31" s="240"/>
      <c r="E31" s="245"/>
      <c r="F31" s="245"/>
    </row>
    <row r="32" spans="1:6" ht="13.5" customHeight="1">
      <c r="A32" s="265" t="str">
        <f>txt!B38</f>
        <v>Name</v>
      </c>
      <c r="B32" s="239"/>
      <c r="C32" s="245"/>
      <c r="D32" s="266"/>
      <c r="E32" s="245"/>
      <c r="F32" s="245"/>
    </row>
    <row r="33" spans="1:6" ht="7.5" customHeight="1">
      <c r="A33" s="239"/>
      <c r="B33" s="239"/>
      <c r="C33" s="245"/>
      <c r="D33" s="240"/>
      <c r="E33" s="245"/>
      <c r="F33" s="245"/>
    </row>
    <row r="34" spans="1:6" ht="13.5" customHeight="1">
      <c r="A34" s="265" t="str">
        <f>txt!B39</f>
        <v>Telefon</v>
      </c>
      <c r="B34" s="239"/>
      <c r="C34" s="245"/>
      <c r="D34" s="267"/>
      <c r="E34" s="245"/>
      <c r="F34" s="245"/>
    </row>
    <row r="35" spans="1:6" ht="7.5" customHeight="1">
      <c r="A35" s="239"/>
      <c r="B35" s="239"/>
      <c r="C35" s="245"/>
      <c r="D35" s="240"/>
      <c r="E35" s="245"/>
      <c r="F35" s="245"/>
    </row>
    <row r="36" spans="1:6" ht="13.5" customHeight="1">
      <c r="A36" s="265" t="str">
        <f>txt!B40</f>
        <v>E-Mail</v>
      </c>
      <c r="B36" s="239"/>
      <c r="C36" s="245"/>
      <c r="D36" s="267"/>
      <c r="E36" s="245"/>
      <c r="F36" s="245"/>
    </row>
    <row r="40" spans="1:6">
      <c r="D40" s="268" t="str">
        <f>txt!B221</f>
        <v>ZURÜCK</v>
      </c>
      <c r="F40" s="269" t="str">
        <f>IF(AND(OR(D12&lt;&gt;"",COUNTIF(D16:D24,"")=4),COUNTIF(D30:D36,"")=3),txt!B222,"")</f>
        <v/>
      </c>
    </row>
  </sheetData>
  <sheetProtection algorithmName="SHA-512" hashValue="1CGtNZIuXZMY4fRdNfDfmNVZTEq9cGipepoQzC8ADkbFUGXO6qwGhfF5PPTu+YOo0lXNpkkqUncbvxR8h3SDcA==" saltValue="WoNPdVj32Q5XVyDkcVPYLQ==" spinCount="100000" sheet="1" objects="1" scenarios="1"/>
  <mergeCells count="3">
    <mergeCell ref="B1:E1"/>
    <mergeCell ref="B2:E2"/>
    <mergeCell ref="B3:E3"/>
  </mergeCells>
  <conditionalFormatting sqref="E12:F18 E21:F26">
    <cfRule type="containsText" dxfId="125" priority="11" operator="containsText" text="WEITER">
      <formula>NOT(ISERROR(SEARCH("WEITER",E12)))</formula>
    </cfRule>
  </conditionalFormatting>
  <conditionalFormatting sqref="E19:F20">
    <cfRule type="containsText" dxfId="124" priority="8" operator="containsText" text="WEITER">
      <formula>NOT(ISERROR(SEARCH("WEITER",E19)))</formula>
    </cfRule>
  </conditionalFormatting>
  <conditionalFormatting sqref="A26:D26">
    <cfRule type="containsText" dxfId="123" priority="7" operator="containsText" text="WEITER">
      <formula>NOT(ISERROR(SEARCH("WEITER",A26)))</formula>
    </cfRule>
  </conditionalFormatting>
  <conditionalFormatting sqref="E27:F36">
    <cfRule type="containsText" dxfId="122" priority="6" operator="containsText" text="WEITER">
      <formula>NOT(ISERROR(SEARCH("WEITER",E27)))</formula>
    </cfRule>
  </conditionalFormatting>
  <conditionalFormatting sqref="D28">
    <cfRule type="containsText" dxfId="121" priority="5" operator="containsText" text="WEITER">
      <formula>NOT(ISERROR(SEARCH("WEITER",D28)))</formula>
    </cfRule>
  </conditionalFormatting>
  <dataValidations count="1">
    <dataValidation type="decimal" allowBlank="1" showInputMessage="1" showErrorMessage="1" sqref="D19 D25 D27 D23 D21 D17 D13 D15">
      <formula1>0</formula1>
      <formula2>1</formula2>
    </dataValidation>
  </dataValidations>
  <hyperlinks>
    <hyperlink ref="C38" location="Intro!A1" display="Intro!A1"/>
    <hyperlink ref="F44" location="'4'!A1" display="'4'!A1"/>
    <hyperlink ref="F46" location="'5'!A1" display="'5'!A1"/>
    <hyperlink ref="D40" location="Intro!A1" display="Intro!A1"/>
    <hyperlink ref="F40" location="'0'!A1" display="'0'!A1"/>
  </hyperlinks>
  <pageMargins left="0.74803149606299213" right="0.74803149606299213" top="0.39370078740157483" bottom="0.19685039370078741" header="0.51181102362204722" footer="0.51181102362204722"/>
  <pageSetup paperSize="9" scale="90" orientation="landscape" horizontalDpi="4294967292" verticalDpi="4294967292" r:id="rId1"/>
  <colBreaks count="1" manualBreakCount="1">
    <brk id="3"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10" operator="equal" id="{1EE68DD9-3F17-6343-B376-A8816424F4E8}">
            <xm:f>txt!$B$222</xm:f>
            <x14:dxf>
              <font>
                <u/>
                <color rgb="FF0000FF"/>
              </font>
              <fill>
                <patternFill patternType="solid">
                  <fgColor indexed="64"/>
                  <bgColor rgb="FFFFFF00"/>
                </patternFill>
              </fill>
            </x14:dxf>
          </x14:cfRule>
          <xm:sqref>F39 F41:F44</xm:sqref>
        </x14:conditionalFormatting>
        <x14:conditionalFormatting xmlns:xm="http://schemas.microsoft.com/office/excel/2006/main">
          <x14:cfRule type="cellIs" priority="9" operator="equal" id="{5C5C0EE1-BDAD-F947-9264-D5716A0E6339}">
            <xm:f>txt!$B$222</xm:f>
            <x14:dxf>
              <font>
                <u/>
                <color rgb="FF0000FF"/>
              </font>
              <fill>
                <patternFill patternType="solid">
                  <fgColor indexed="64"/>
                  <bgColor rgb="FFFFFF00"/>
                </patternFill>
              </fill>
            </x14:dxf>
          </x14:cfRule>
          <xm:sqref>F46</xm:sqref>
        </x14:conditionalFormatting>
        <x14:conditionalFormatting xmlns:xm="http://schemas.microsoft.com/office/excel/2006/main">
          <x14:cfRule type="cellIs" priority="1" operator="equal" id="{041C0A2A-A159-F34B-A20E-806833C754EB}">
            <xm:f>txt!B222</xm:f>
            <x14:dxf>
              <font>
                <u/>
                <color rgb="FF0000FF"/>
              </font>
              <fill>
                <patternFill patternType="solid">
                  <fgColor indexed="64"/>
                  <bgColor rgb="FFFFFF00"/>
                </patternFill>
              </fill>
            </x14:dxf>
          </x14:cfRule>
          <xm:sqref>F40</xm:sqref>
        </x14:conditionalFormatting>
      </x14:conditionalFormattings>
    </ex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tabColor theme="8" tint="0.39997558519241921"/>
    <pageSetUpPr fitToPage="1"/>
  </sheetPr>
  <dimension ref="A1:AB34"/>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8.6640625" style="50" customWidth="1"/>
    <col min="4" max="5" width="12.6640625" style="50" customWidth="1"/>
    <col min="6" max="6" width="2.6640625" style="50" customWidth="1"/>
    <col min="7" max="7" width="8.6640625" style="50" customWidth="1"/>
    <col min="8" max="9" width="12.6640625" style="50" customWidth="1"/>
    <col min="10" max="10" width="5.6640625" style="50" customWidth="1"/>
    <col min="11" max="11" width="60.6640625" style="50" customWidth="1"/>
    <col min="12" max="16384" width="10.6640625" style="50"/>
  </cols>
  <sheetData>
    <row r="1" spans="1:28" ht="15" customHeight="1">
      <c r="B1" s="366" t="str">
        <f>txt!B42</f>
        <v>Preiserhebung</v>
      </c>
      <c r="C1" s="366"/>
      <c r="D1" s="366"/>
      <c r="E1" s="366"/>
      <c r="F1" s="366"/>
      <c r="I1" s="51" t="str">
        <f>txt!B175</f>
        <v>Eidg. Departement des Innern</v>
      </c>
    </row>
    <row r="2" spans="1:28" ht="15" customHeight="1">
      <c r="B2" s="366" t="str">
        <f>txt!B43</f>
        <v>Produzentenpreisindex</v>
      </c>
      <c r="C2" s="366"/>
      <c r="D2" s="366"/>
      <c r="E2" s="366"/>
      <c r="F2" s="366"/>
      <c r="I2" s="51" t="str">
        <f>txt!B176</f>
        <v>Bundesamt für Statistik BFS</v>
      </c>
    </row>
    <row r="3" spans="1:28" ht="15" customHeight="1">
      <c r="B3" s="366" t="str">
        <f>txt!B44</f>
        <v>Informatikdienstleistungen</v>
      </c>
      <c r="C3" s="366"/>
      <c r="D3" s="366"/>
      <c r="E3" s="366"/>
      <c r="F3" s="366"/>
      <c r="I3" s="51" t="str">
        <f>txt!B177</f>
        <v>Abt. Wirtschaft, Sektion PREIS</v>
      </c>
    </row>
    <row r="4" spans="1:28" ht="13.5" customHeight="1">
      <c r="A4" s="63"/>
      <c r="B4" s="63"/>
      <c r="C4" s="63"/>
      <c r="D4" s="63"/>
      <c r="E4" s="63"/>
      <c r="F4" s="63"/>
      <c r="G4" s="63"/>
      <c r="H4" s="63"/>
      <c r="I4" s="63"/>
      <c r="J4" s="63"/>
      <c r="K4" s="63"/>
      <c r="L4" s="63"/>
    </row>
    <row r="5" spans="1:28" ht="13.5" customHeight="1">
      <c r="A5" s="63" t="str">
        <f>txt!B46</f>
        <v>PMS-Nr. 0</v>
      </c>
      <c r="B5" s="63"/>
      <c r="C5" s="63"/>
      <c r="D5" s="63"/>
      <c r="E5" s="63"/>
      <c r="F5" s="63"/>
      <c r="G5" s="63"/>
      <c r="H5" s="63"/>
      <c r="I5" s="51" t="str">
        <f>txt!B45</f>
        <v/>
      </c>
      <c r="J5" s="63"/>
      <c r="L5" s="63"/>
    </row>
    <row r="6" spans="1:28" ht="13.5" customHeight="1">
      <c r="A6" s="63"/>
      <c r="B6" s="63"/>
      <c r="C6" s="63"/>
      <c r="D6" s="63"/>
      <c r="E6" s="63"/>
      <c r="F6" s="63"/>
      <c r="G6" s="63"/>
      <c r="H6" s="63"/>
      <c r="I6" s="63"/>
      <c r="J6" s="63"/>
      <c r="K6" s="63"/>
      <c r="L6" s="63"/>
    </row>
    <row r="7" spans="1:28" ht="13.5" customHeight="1">
      <c r="A7" s="373" t="str">
        <f>txt!B47&amp;": "&amp;txt!B51</f>
        <v>Geschäftsfeld: Betrieb-, Support-, Installations- und Wartungsleistungen</v>
      </c>
      <c r="B7" s="373"/>
      <c r="C7" s="373"/>
      <c r="D7" s="63"/>
      <c r="E7" s="63"/>
      <c r="F7" s="63"/>
      <c r="G7" s="349" t="str">
        <f>" "&amp;REPT("|",INT(Steuerung!AA33*105))</f>
        <v xml:space="preserve"> </v>
      </c>
      <c r="H7" s="350"/>
      <c r="I7" s="351"/>
      <c r="J7" s="63"/>
      <c r="K7" s="63"/>
      <c r="L7" s="63"/>
    </row>
    <row r="8" spans="1:28" ht="13.5" customHeight="1">
      <c r="A8" s="63" t="str">
        <f>txt!B48&amp;": "&amp;txt!B61</f>
        <v>Dienstleistungstyp: Installation</v>
      </c>
      <c r="B8" s="63"/>
      <c r="C8" s="63"/>
      <c r="D8" s="63"/>
      <c r="E8" s="63"/>
      <c r="F8" s="63"/>
      <c r="G8" s="63"/>
      <c r="H8" s="63"/>
      <c r="I8" s="65" t="str">
        <f>IF($A$17="",txt!B241,IF(OR($D$17="",AND($A$25=0,$H$17="")),txt!B233,IF(OR($E$17="",AND($A$25=0,$I$17="")),txt!B234,IF(AND($A$25=0,$G$17=""),txt!B235,IF(A26=1,"","")))))</f>
        <v>Bitte beschreiben Sie einen typischen Installationsauftrag</v>
      </c>
      <c r="J8" s="63"/>
      <c r="K8" s="63"/>
      <c r="L8" s="63"/>
    </row>
    <row r="9" spans="1:28" ht="13.5" customHeight="1"/>
    <row r="10" spans="1:28" s="80" customFormat="1" ht="13.5" customHeight="1">
      <c r="A10" s="357" t="str">
        <f>txt!B186</f>
        <v>Zu welchem Preis würden Sie den von Ihnen beschriebenen typischen Installationsauftrag anbieten?</v>
      </c>
      <c r="B10" s="357"/>
      <c r="C10" s="357"/>
      <c r="D10" s="357"/>
      <c r="E10" s="357"/>
      <c r="F10" s="357"/>
      <c r="G10" s="357"/>
      <c r="H10" s="357"/>
      <c r="I10" s="357"/>
      <c r="K10" s="111"/>
    </row>
    <row r="11" spans="1:28" s="80" customFormat="1" ht="13.5" customHeight="1">
      <c r="A11" s="157"/>
      <c r="B11" s="157"/>
      <c r="C11" s="157"/>
      <c r="D11" s="157"/>
      <c r="E11" s="157"/>
      <c r="F11" s="157"/>
      <c r="G11" s="157"/>
      <c r="H11" s="157"/>
      <c r="I11" s="157"/>
      <c r="K11" s="111"/>
    </row>
    <row r="12" spans="1:28" s="80" customFormat="1" ht="13.5" customHeight="1">
      <c r="A12" s="157"/>
      <c r="B12" s="157"/>
      <c r="C12" s="157"/>
      <c r="D12" s="157"/>
      <c r="E12" s="157"/>
      <c r="F12" s="157"/>
      <c r="G12" s="157"/>
      <c r="H12" s="157"/>
      <c r="I12" s="157"/>
      <c r="K12" s="111"/>
    </row>
    <row r="13" spans="1:28" s="79" customFormat="1" ht="13.5" customHeight="1">
      <c r="A13" s="50"/>
      <c r="B13" s="50"/>
      <c r="C13" s="50"/>
      <c r="D13" s="167" t="str">
        <f>txt!B157</f>
        <v>Kunde in der Schweiz</v>
      </c>
      <c r="E13" s="135"/>
      <c r="F13" s="135"/>
      <c r="G13" s="167" t="str">
        <f>txt!B158</f>
        <v>Kunde im Ausland</v>
      </c>
      <c r="H13" s="167"/>
      <c r="I13" s="167"/>
      <c r="J13" s="50"/>
      <c r="K13" s="50"/>
      <c r="L13" s="50"/>
      <c r="M13" s="50"/>
      <c r="N13" s="50"/>
      <c r="O13" s="50"/>
      <c r="P13" s="50"/>
      <c r="Q13" s="50"/>
      <c r="R13" s="50"/>
      <c r="S13" s="50"/>
      <c r="T13" s="50"/>
      <c r="U13" s="50"/>
      <c r="V13" s="50"/>
      <c r="W13" s="50"/>
      <c r="X13" s="50"/>
      <c r="Y13" s="50"/>
      <c r="Z13" s="50"/>
      <c r="AA13" s="50"/>
      <c r="AB13" s="50"/>
    </row>
    <row r="14" spans="1:28" s="79" customFormat="1" ht="13.5" customHeight="1">
      <c r="A14" s="50"/>
      <c r="B14" s="50"/>
      <c r="C14" s="50"/>
      <c r="D14" s="167"/>
      <c r="E14" s="135"/>
      <c r="F14" s="135"/>
      <c r="G14" s="167"/>
      <c r="H14" s="167"/>
      <c r="I14" s="167"/>
      <c r="J14" s="50"/>
      <c r="K14" s="50"/>
      <c r="L14" s="50"/>
      <c r="M14" s="50"/>
      <c r="N14" s="50"/>
      <c r="O14" s="50"/>
      <c r="P14" s="50"/>
      <c r="Q14" s="50"/>
      <c r="R14" s="50"/>
      <c r="S14" s="50"/>
      <c r="T14" s="50"/>
      <c r="U14" s="50"/>
      <c r="V14" s="50"/>
      <c r="W14" s="50"/>
      <c r="X14" s="50"/>
      <c r="Y14" s="50"/>
      <c r="Z14" s="50"/>
      <c r="AA14" s="50"/>
      <c r="AB14" s="50"/>
    </row>
    <row r="15" spans="1:28" s="79" customFormat="1" ht="13.5" customHeight="1">
      <c r="B15" s="50"/>
      <c r="C15" s="50"/>
      <c r="D15" s="168" t="str">
        <f>txt!B23</f>
        <v>März 2022</v>
      </c>
      <c r="E15" s="168" t="str">
        <f>txt!B24</f>
        <v>März 2021</v>
      </c>
      <c r="F15" s="169"/>
      <c r="G15" s="165"/>
      <c r="H15" s="168" t="str">
        <f>D15</f>
        <v>März 2022</v>
      </c>
      <c r="I15" s="168" t="str">
        <f>E15</f>
        <v>März 2021</v>
      </c>
      <c r="J15" s="50"/>
      <c r="K15" s="50"/>
      <c r="L15" s="50"/>
      <c r="M15" s="50"/>
      <c r="N15" s="50"/>
      <c r="O15" s="50"/>
      <c r="P15" s="50"/>
      <c r="Q15" s="50"/>
      <c r="R15" s="50"/>
      <c r="S15" s="50"/>
      <c r="T15" s="50"/>
      <c r="U15" s="50"/>
      <c r="V15" s="50"/>
      <c r="W15" s="50"/>
      <c r="X15" s="50"/>
      <c r="Y15" s="50"/>
      <c r="Z15" s="50"/>
      <c r="AA15" s="50"/>
      <c r="AB15" s="50"/>
    </row>
    <row r="16" spans="1:28" s="79" customFormat="1" ht="13.5" customHeight="1">
      <c r="A16" s="57" t="str">
        <f>txt!B187&amp;":"</f>
        <v>Beschreiben Sie einen typischen Installationsauftrag:</v>
      </c>
      <c r="B16" s="50"/>
      <c r="C16" s="50"/>
      <c r="D16" s="170" t="str">
        <f>txt!B166</f>
        <v>Preis</v>
      </c>
      <c r="E16" s="170" t="str">
        <f>txt!B166</f>
        <v>Preis</v>
      </c>
      <c r="F16" s="169"/>
      <c r="G16" s="169" t="str">
        <f>txt!B161</f>
        <v>Währung</v>
      </c>
      <c r="H16" s="170" t="str">
        <f>D16</f>
        <v>Preis</v>
      </c>
      <c r="I16" s="170" t="str">
        <f>E16</f>
        <v>Preis</v>
      </c>
      <c r="J16" s="50"/>
      <c r="K16" s="50"/>
      <c r="L16" s="50"/>
      <c r="M16" s="50"/>
      <c r="N16" s="50"/>
      <c r="O16" s="50"/>
      <c r="P16" s="50"/>
      <c r="Q16" s="50"/>
      <c r="R16" s="50"/>
      <c r="S16" s="50"/>
      <c r="T16" s="50"/>
      <c r="U16" s="50"/>
      <c r="V16" s="50"/>
      <c r="W16" s="50"/>
      <c r="X16" s="50"/>
      <c r="Y16" s="50"/>
      <c r="Z16" s="50"/>
      <c r="AA16" s="50"/>
      <c r="AB16" s="50"/>
    </row>
    <row r="17" spans="1:28" s="79" customFormat="1" ht="40.5" customHeight="1">
      <c r="A17" s="307"/>
      <c r="B17" s="137"/>
      <c r="C17" s="171"/>
      <c r="D17" s="309"/>
      <c r="E17" s="309"/>
      <c r="F17" s="172"/>
      <c r="G17" s="279"/>
      <c r="H17" s="284"/>
      <c r="I17" s="284"/>
      <c r="J17" s="50"/>
      <c r="K17" s="50"/>
      <c r="L17" s="50"/>
      <c r="M17" s="50"/>
      <c r="N17" s="50"/>
      <c r="O17" s="50"/>
      <c r="P17" s="50"/>
      <c r="Q17" s="50"/>
      <c r="R17" s="50"/>
      <c r="S17" s="50"/>
      <c r="T17" s="50"/>
      <c r="U17" s="50"/>
      <c r="V17" s="50"/>
      <c r="W17" s="50"/>
      <c r="X17" s="50"/>
      <c r="Y17" s="50"/>
      <c r="Z17" s="50"/>
      <c r="AA17" s="50"/>
      <c r="AB17" s="50"/>
    </row>
    <row r="18" spans="1:28" s="80" customFormat="1" ht="13.5" customHeight="1">
      <c r="A18" s="157"/>
      <c r="B18" s="157"/>
      <c r="C18" s="157"/>
      <c r="D18" s="157"/>
      <c r="E18" s="157"/>
      <c r="F18" s="157"/>
      <c r="G18" s="157"/>
      <c r="H18" s="157"/>
      <c r="I18" s="157"/>
      <c r="K18" s="111"/>
    </row>
    <row r="19" spans="1:28" s="80" customFormat="1" ht="40.5" customHeight="1">
      <c r="A19" s="73" t="str">
        <f>txt!B188</f>
        <v>Beispiel: Einrichten von X Einzelarbeitsplätzen mit dem Softwarebundle vor Ort.</v>
      </c>
      <c r="B19" s="157"/>
      <c r="C19" s="157"/>
      <c r="D19" s="348" t="str">
        <f>txt!B159</f>
        <v>Defintion "Kunde in der Schweiz": Adresse des Leistungsbezügers im Inland.</v>
      </c>
      <c r="E19" s="348"/>
      <c r="F19" s="157"/>
      <c r="G19" s="348" t="str">
        <f>txt!B160</f>
        <v>Definition "Kunde im Ausland": Adresse des Leistungsbezügers im Ausland.</v>
      </c>
      <c r="H19" s="348"/>
      <c r="I19" s="348"/>
      <c r="K19" s="111"/>
    </row>
    <row r="20" spans="1:28" s="80" customFormat="1" ht="7.5" customHeight="1">
      <c r="A20" s="157"/>
      <c r="B20" s="157"/>
      <c r="C20" s="157"/>
      <c r="D20" s="173"/>
      <c r="E20" s="173"/>
      <c r="F20" s="173"/>
      <c r="G20" s="173"/>
      <c r="H20" s="173"/>
      <c r="I20" s="173"/>
      <c r="K20" s="111"/>
    </row>
    <row r="21" spans="1:28" s="80" customFormat="1" ht="27" customHeight="1">
      <c r="A21" s="157"/>
      <c r="B21" s="157"/>
      <c r="C21" s="157"/>
      <c r="D21" s="370" t="str">
        <f>txt!B169</f>
        <v>Die Preise sind ohne Mehrwertsteuer anzugeben.</v>
      </c>
      <c r="E21" s="370"/>
      <c r="F21" s="173"/>
      <c r="G21" s="371"/>
      <c r="H21" s="371"/>
      <c r="I21" s="371"/>
      <c r="K21" s="111"/>
    </row>
    <row r="22" spans="1:28" s="80" customFormat="1" ht="13.5" customHeight="1">
      <c r="A22" s="157"/>
      <c r="B22" s="157"/>
      <c r="C22" s="157"/>
      <c r="D22" s="157"/>
      <c r="E22" s="157"/>
      <c r="F22" s="157"/>
      <c r="G22" s="157"/>
      <c r="H22" s="157"/>
      <c r="I22" s="157"/>
      <c r="K22" s="111"/>
    </row>
    <row r="23" spans="1:28" s="80" customFormat="1" ht="13.5" customHeight="1">
      <c r="A23" s="157" t="str">
        <f>txt!B173&amp;":"</f>
        <v>Bemerkungen:</v>
      </c>
      <c r="B23" s="157"/>
      <c r="C23" s="157"/>
      <c r="D23" s="157"/>
      <c r="E23" s="157"/>
      <c r="F23" s="157"/>
      <c r="G23" s="157"/>
      <c r="H23" s="157"/>
      <c r="I23" s="157"/>
      <c r="K23" s="111"/>
    </row>
    <row r="24" spans="1:28" s="80" customFormat="1" ht="54" customHeight="1">
      <c r="A24" s="367"/>
      <c r="B24" s="368"/>
      <c r="C24" s="368"/>
      <c r="D24" s="368"/>
      <c r="E24" s="368"/>
      <c r="F24" s="368"/>
      <c r="G24" s="368"/>
      <c r="H24" s="368"/>
      <c r="I24" s="369"/>
      <c r="K24" s="111"/>
    </row>
    <row r="25" spans="1:28" ht="13.5" customHeight="1">
      <c r="A25" s="78">
        <f>Steuerung!E34</f>
        <v>1</v>
      </c>
      <c r="B25" s="57"/>
      <c r="C25" s="57"/>
      <c r="D25" s="57"/>
      <c r="K25" s="156"/>
    </row>
    <row r="26" spans="1:28" ht="13.5" customHeight="1">
      <c r="A26" s="78">
        <f>Steuerung!H$35</f>
        <v>0</v>
      </c>
      <c r="C26" s="268" t="str">
        <f>txt!$B$221</f>
        <v>ZURÜCK</v>
      </c>
      <c r="G26" s="269" t="str">
        <f>IF($A$17="","",IF(OR($D$17="",AND($A$25=0,$H$17="")),"",IF(OR($E$17="",AND($A$25=0,$I$17="")),"",IF(AND($A$25=0,$G$17=""),"",IF(A26=1,txt!$B$222,"")))))</f>
        <v/>
      </c>
    </row>
    <row r="27" spans="1:28" ht="13.5" customHeight="1">
      <c r="A27" s="78"/>
      <c r="E27" s="62"/>
      <c r="G27" s="62"/>
      <c r="I27" s="112"/>
    </row>
    <row r="28" spans="1:28" ht="13.5" customHeight="1">
      <c r="A28" s="78">
        <f>Steuerung!J$35</f>
        <v>1</v>
      </c>
      <c r="G28" s="274" t="str">
        <f>IF($A$17="","",IF(OR($D$17="",AND($A$25=0,$H$17="")),"",IF(OR($E$17="",AND($A$25=0,$I$17="")),"",IF(AND($A$25=0,$G$17=""),"",IF(AND(A26=0,A28=1),txt!$B$222,"")))))</f>
        <v/>
      </c>
    </row>
    <row r="29" spans="1:28">
      <c r="G29" s="62"/>
    </row>
    <row r="30" spans="1:28">
      <c r="G30" s="62"/>
    </row>
    <row r="31" spans="1:28">
      <c r="G31" s="62"/>
    </row>
    <row r="32" spans="1:28">
      <c r="G32" s="62"/>
    </row>
    <row r="33" spans="7:7" ht="12.75" customHeight="1">
      <c r="G33" s="62"/>
    </row>
    <row r="34" spans="7:7">
      <c r="G34" s="62"/>
    </row>
  </sheetData>
  <sheetProtection algorithmName="SHA-512" hashValue="z8aIsCmTM4mdX1i0nnJFHdplBpvdxNxNNU/nnNvLqDoBm/Wa22YzJmEyckCFNZsO92RVPqDkMGLJZKjkvZuG4w==" saltValue="Qwc3w4jEyotnqR3HbB99CQ==" spinCount="100000" sheet="1" objects="1" scenarios="1"/>
  <mergeCells count="11">
    <mergeCell ref="B1:F1"/>
    <mergeCell ref="B3:F3"/>
    <mergeCell ref="B2:F2"/>
    <mergeCell ref="A24:I24"/>
    <mergeCell ref="A7:C7"/>
    <mergeCell ref="G19:I19"/>
    <mergeCell ref="D19:E19"/>
    <mergeCell ref="A10:I10"/>
    <mergeCell ref="D21:E21"/>
    <mergeCell ref="G21:I21"/>
    <mergeCell ref="G7:I7"/>
  </mergeCells>
  <conditionalFormatting sqref="I27">
    <cfRule type="containsText" dxfId="43" priority="11" operator="containsText" text="WEITER">
      <formula>NOT(ISERROR(SEARCH("WEITER",I27)))</formula>
    </cfRule>
  </conditionalFormatting>
  <conditionalFormatting sqref="G13:I21">
    <cfRule type="expression" dxfId="42" priority="4">
      <formula>$A$25=1</formula>
    </cfRule>
  </conditionalFormatting>
  <dataValidations count="1">
    <dataValidation type="textLength" allowBlank="1" showInputMessage="1" showErrorMessage="1" error="Bitte verwenden Sie nicht mehr als 199 Zeichen / S.v.p. utilisez 199 caractères au maximum" sqref="A17">
      <formula1>0</formula1>
      <formula2>199</formula2>
    </dataValidation>
  </dataValidations>
  <hyperlinks>
    <hyperlink ref="G26" location="'4'!A1" display="'4'!A1"/>
    <hyperlink ref="G28" location="'5'!A1" display="'5'!A1"/>
    <hyperlink ref="C26" location="'30'!$A$1" display="'30'!$A$1"/>
  </hyperlinks>
  <pageMargins left="0.74803149606299213" right="0.74803149606299213" top="0.39370078740157483" bottom="0.19685039370078741" header="0.51181102362204722" footer="0.51181102362204722"/>
  <pageSetup paperSize="9" scale="88"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2DD9911F-166E-8A4C-B865-27AD4AE3F409}">
            <xm:f>txt!$B$222</xm:f>
            <x14:dxf>
              <font>
                <u/>
                <color rgb="FF0000FF"/>
              </font>
              <fill>
                <patternFill patternType="solid">
                  <fgColor indexed="64"/>
                  <bgColor rgb="FFFFFF00"/>
                </patternFill>
              </fill>
            </x14:dxf>
          </x14:cfRule>
          <xm:sqref>G26:G34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G17</xm:sqref>
        </x14:dataValidation>
      </x14:dataValidations>
    </ex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tabColor theme="8" tint="0.39997558519241921"/>
    <pageSetUpPr fitToPage="1"/>
  </sheetPr>
  <dimension ref="A1:AU61"/>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373" t="str">
        <f>txt!B47&amp;": "&amp;txt!B51</f>
        <v>Geschäftsfeld: Betrieb-, Support-, Installations- und Wartungsleistungen</v>
      </c>
      <c r="B7" s="373"/>
      <c r="C7" s="373"/>
      <c r="D7" s="63"/>
      <c r="E7" s="63"/>
      <c r="F7" s="63"/>
      <c r="G7" s="63"/>
      <c r="H7" s="349" t="str">
        <f>" "&amp;REPT("|",INT(Steuerung!AA35*107))</f>
        <v xml:space="preserve"> </v>
      </c>
      <c r="I7" s="350"/>
      <c r="J7" s="350"/>
      <c r="K7" s="351"/>
      <c r="L7" s="63"/>
    </row>
    <row r="8" spans="1:16" ht="13.5" customHeight="1">
      <c r="A8" s="63" t="str">
        <f>txt!B48&amp;": "&amp;txt!B61</f>
        <v>Dienstleistungstyp: Installation</v>
      </c>
      <c r="B8" s="63"/>
      <c r="C8" s="63"/>
      <c r="D8" s="63"/>
      <c r="E8" s="63"/>
      <c r="F8" s="63"/>
      <c r="G8" s="63"/>
      <c r="H8" s="63"/>
      <c r="I8" s="63"/>
      <c r="J8" s="63"/>
      <c r="K8" s="65" t="str">
        <f>IF(COUNTIF($A$17:$A$25,"")=9,txt!B228,IF(SUM($C$17:$C$25)&lt;&gt;1,txt!B227,IF(COUNTIF($D$17,"")=1,txt!B235,IF(COUNTIF($E$17:$E$25,"")=9,txt!B233,IF(COUNTIF($F$17:$F$25,"")=9,txt!B234,IF(COUNTIF($H$17:$H$25,"")=9,txt!B251,IF(COUNTIF($I$17:$I$25,"")=9,txt!B251,"")))))))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txt!B157</f>
        <v>Kunde in der Schweiz</v>
      </c>
      <c r="H13" s="57"/>
    </row>
    <row r="14" spans="1:16" ht="13.5" customHeight="1"/>
    <row r="15" spans="1:16" ht="13.5" customHeight="1">
      <c r="A15" s="69" t="str">
        <f>txt!B111&amp;"-"&amp;txt!B113</f>
        <v>Run-Bereich</v>
      </c>
      <c r="B15" s="89"/>
      <c r="C15" s="118"/>
      <c r="D15" s="118"/>
      <c r="E15" s="118" t="str">
        <f>txt!B23</f>
        <v>März 2022</v>
      </c>
      <c r="F15" s="118" t="str">
        <f>txt!B24</f>
        <v>März 2021</v>
      </c>
      <c r="G15" s="119"/>
      <c r="H15" s="118" t="str">
        <f>E15</f>
        <v>März 2022</v>
      </c>
      <c r="I15" s="118" t="str">
        <f>F15</f>
        <v>März 2021</v>
      </c>
      <c r="J15" s="118"/>
      <c r="K15" s="118"/>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J16" s="118"/>
      <c r="K16" s="118"/>
      <c r="L16" s="120"/>
    </row>
    <row r="17" spans="1:47" ht="13.5" customHeight="1">
      <c r="A17" s="281" t="s">
        <v>662</v>
      </c>
      <c r="B17" s="89"/>
      <c r="C17" s="266"/>
      <c r="D17" s="121" t="s">
        <v>159</v>
      </c>
      <c r="E17" s="283"/>
      <c r="F17" s="283"/>
      <c r="G17" s="68"/>
      <c r="H17" s="266"/>
      <c r="I17" s="266"/>
      <c r="J17" s="68"/>
      <c r="L17" s="120"/>
    </row>
    <row r="18" spans="1:47" ht="7.5" customHeight="1">
      <c r="A18" s="60"/>
      <c r="B18" s="89"/>
      <c r="C18" s="120"/>
      <c r="D18" s="120"/>
      <c r="E18" s="122"/>
      <c r="F18" s="122"/>
      <c r="G18" s="68"/>
      <c r="H18" s="120"/>
      <c r="I18" s="120"/>
      <c r="J18" s="68"/>
      <c r="L18" s="120"/>
    </row>
    <row r="19" spans="1:47" ht="13.5" customHeight="1">
      <c r="A19" s="281" t="s">
        <v>663</v>
      </c>
      <c r="B19" s="89"/>
      <c r="C19" s="266"/>
      <c r="D19" s="121" t="s">
        <v>159</v>
      </c>
      <c r="E19" s="283"/>
      <c r="F19" s="283"/>
      <c r="G19" s="68"/>
      <c r="H19" s="266"/>
      <c r="I19" s="266"/>
      <c r="J19" s="68"/>
      <c r="L19" s="120"/>
    </row>
    <row r="20" spans="1:47" ht="7.5" customHeight="1">
      <c r="A20" s="60"/>
      <c r="B20" s="89"/>
      <c r="C20" s="120"/>
      <c r="D20" s="120"/>
      <c r="E20" s="122"/>
      <c r="F20" s="122"/>
      <c r="G20" s="68"/>
      <c r="H20" s="120"/>
      <c r="I20" s="120"/>
      <c r="J20" s="68"/>
      <c r="L20" s="120"/>
    </row>
    <row r="21" spans="1:47" ht="13.5" customHeight="1">
      <c r="A21" s="281" t="s">
        <v>664</v>
      </c>
      <c r="B21" s="89"/>
      <c r="C21" s="266"/>
      <c r="D21" s="121" t="s">
        <v>159</v>
      </c>
      <c r="E21" s="283"/>
      <c r="F21" s="283"/>
      <c r="G21" s="68"/>
      <c r="H21" s="266"/>
      <c r="I21" s="266"/>
      <c r="J21" s="68"/>
      <c r="L21" s="120"/>
    </row>
    <row r="22" spans="1:47" ht="7.5" customHeight="1">
      <c r="A22" s="60"/>
      <c r="B22" s="89"/>
      <c r="C22" s="120"/>
      <c r="D22" s="120"/>
      <c r="E22" s="122"/>
      <c r="F22" s="122"/>
      <c r="G22" s="68"/>
      <c r="H22" s="120"/>
      <c r="I22" s="120"/>
      <c r="J22" s="68"/>
      <c r="L22" s="120"/>
    </row>
    <row r="23" spans="1:47" ht="13.5" customHeight="1">
      <c r="A23" s="281"/>
      <c r="B23" s="89"/>
      <c r="C23" s="266"/>
      <c r="D23" s="121" t="s">
        <v>159</v>
      </c>
      <c r="E23" s="283"/>
      <c r="F23" s="283"/>
      <c r="G23" s="68"/>
      <c r="H23" s="266"/>
      <c r="I23" s="266"/>
      <c r="J23" s="68"/>
      <c r="L23" s="120"/>
    </row>
    <row r="24" spans="1:47" ht="7.5" customHeight="1">
      <c r="A24" s="60"/>
      <c r="B24" s="89"/>
      <c r="C24" s="120"/>
      <c r="D24" s="120"/>
      <c r="E24" s="122"/>
      <c r="F24" s="122"/>
      <c r="G24" s="68"/>
      <c r="H24" s="120"/>
      <c r="I24" s="120"/>
      <c r="J24" s="68"/>
      <c r="L24" s="120"/>
    </row>
    <row r="25" spans="1:47" ht="13.5" customHeight="1">
      <c r="A25" s="281"/>
      <c r="B25" s="89"/>
      <c r="C25" s="266"/>
      <c r="D25" s="121" t="s">
        <v>159</v>
      </c>
      <c r="E25" s="283"/>
      <c r="F25" s="283"/>
      <c r="G25" s="68"/>
      <c r="H25" s="266"/>
      <c r="I25" s="266"/>
      <c r="J25" s="68"/>
      <c r="L25" s="120"/>
    </row>
    <row r="26" spans="1:47" ht="13.5" customHeight="1">
      <c r="A26" s="69"/>
      <c r="B26" s="89"/>
      <c r="C26" s="356" t="str">
        <f>SUM(C17:C25)*100&amp;txt!$B$224</f>
        <v>0% von 100% zugeteilt</v>
      </c>
      <c r="D26" s="356"/>
      <c r="E26" s="120"/>
      <c r="F26" s="120"/>
      <c r="G26" s="68"/>
      <c r="H26" s="120"/>
      <c r="I26" s="120"/>
      <c r="J26" s="68"/>
      <c r="L26" s="120"/>
    </row>
    <row r="27" spans="1:47" ht="13.5" customHeight="1">
      <c r="A27" s="69"/>
      <c r="B27" s="89"/>
      <c r="C27" s="120"/>
      <c r="D27" s="120"/>
      <c r="E27" s="120"/>
      <c r="F27" s="120"/>
      <c r="G27" s="68"/>
      <c r="H27" s="120"/>
      <c r="I27" s="120"/>
      <c r="J27" s="68"/>
      <c r="L27" s="120"/>
    </row>
    <row r="28" spans="1:47" s="131" customFormat="1" ht="13.5" customHeight="1">
      <c r="A28" s="125" t="str">
        <f>txt!B138&amp;": "&amp;txt!B139</f>
        <v>Beispiel: Projektleiter</v>
      </c>
      <c r="B28" s="126"/>
      <c r="C28" s="127">
        <v>0.28000000000000003</v>
      </c>
      <c r="D28" s="128" t="s">
        <v>159</v>
      </c>
      <c r="E28" s="129">
        <v>160</v>
      </c>
      <c r="F28" s="129">
        <v>160</v>
      </c>
      <c r="G28" s="130"/>
      <c r="H28" s="209">
        <v>0.08</v>
      </c>
      <c r="I28" s="209">
        <v>0.05</v>
      </c>
      <c r="J28" s="130"/>
      <c r="K28" s="50"/>
    </row>
    <row r="29" spans="1:47" ht="7.5" customHeight="1">
      <c r="A29" s="69"/>
      <c r="B29" s="89"/>
      <c r="C29" s="120"/>
      <c r="D29" s="120"/>
      <c r="E29" s="120"/>
      <c r="F29" s="120"/>
      <c r="G29" s="68"/>
      <c r="H29" s="120"/>
      <c r="I29" s="120"/>
      <c r="J29" s="120"/>
      <c r="K29" s="120"/>
      <c r="L29" s="120"/>
    </row>
    <row r="30" spans="1:47" s="79" customFormat="1" ht="67.5" customHeight="1">
      <c r="A30" s="233" t="str">
        <f>txt!B112</f>
        <v>Mitarbeiter des 'Run'-Bereichs sind zum Beispiel System-Specialist, Helpdesk-Mitarbeiter, System-Administator, ICT-Supporter, System-Controller, Benutzer-Supporter, ICT-Techniker, ICT-System-Manager.</v>
      </c>
      <c r="B30" s="89"/>
      <c r="C30" s="339" t="str">
        <f>txt!B159</f>
        <v>Defintion "Kunde in der Schweiz": Adresse des Leistungsbezügers im Inland.</v>
      </c>
      <c r="D30" s="339"/>
      <c r="E30" s="339"/>
      <c r="F30" s="339"/>
      <c r="G30" s="132"/>
      <c r="H30" s="120"/>
      <c r="I30" s="120"/>
      <c r="J30" s="120"/>
      <c r="K30" s="12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row>
    <row r="31" spans="1:47" ht="7.5" customHeight="1">
      <c r="A31" s="69"/>
      <c r="B31" s="69"/>
      <c r="C31" s="69"/>
      <c r="D31" s="69"/>
      <c r="E31" s="69"/>
      <c r="F31" s="69"/>
      <c r="G31" s="69"/>
      <c r="H31" s="120"/>
      <c r="I31" s="120"/>
      <c r="J31" s="120"/>
      <c r="K31" s="120"/>
      <c r="L31" s="69"/>
    </row>
    <row r="32" spans="1:47" ht="54" customHeight="1">
      <c r="A32" s="233" t="str">
        <f>txt!B145&amp;":
"&amp;txt!B146</f>
        <v>Stundenansätze:
Die ausgewiesenen Preise sollen den durchschnittlichen (über alle Kunden) effektiv verrechneten Stundenansätzen entsprechen (Rabatte sind separat auszuweisen).</v>
      </c>
      <c r="B32" s="89"/>
      <c r="C32" s="339" t="str">
        <f>txt!B169</f>
        <v>Die Preise sind ohne Mehrwertsteuer anzugeben.</v>
      </c>
      <c r="D32" s="339"/>
      <c r="E32" s="339"/>
      <c r="F32" s="339"/>
      <c r="G32" s="68"/>
      <c r="H32" s="120"/>
      <c r="I32" s="120"/>
      <c r="J32" s="120"/>
      <c r="K32" s="120"/>
      <c r="L32" s="120"/>
    </row>
    <row r="33" spans="1:12" ht="7.5" customHeight="1">
      <c r="A33" s="69"/>
      <c r="B33" s="89"/>
      <c r="C33" s="120"/>
      <c r="D33" s="120"/>
      <c r="E33" s="120"/>
      <c r="F33" s="120"/>
      <c r="G33" s="68"/>
      <c r="H33" s="120"/>
      <c r="I33" s="120"/>
      <c r="J33" s="120"/>
      <c r="K33" s="120"/>
      <c r="L33" s="120"/>
    </row>
    <row r="34" spans="1:12" ht="67.5" customHeight="1">
      <c r="A34" s="69"/>
      <c r="B34" s="89"/>
      <c r="C34" s="339" t="str">
        <f>txt!B155</f>
        <v xml:space="preserve">Die Zeitanteile der angegebenen Qualifikationsstufen müssen sich zu 100% addieren. Gegebenenfalls nicht genannte Qualifikationsstufen sind bei den Zeitanteilen also nicht zu berücksichtigen.  </v>
      </c>
      <c r="D34" s="339"/>
      <c r="E34" s="339"/>
      <c r="F34" s="339"/>
      <c r="G34" s="68"/>
      <c r="L34" s="120"/>
    </row>
    <row r="35" spans="1:12" ht="12.95" customHeight="1">
      <c r="A35" s="69"/>
      <c r="B35" s="89"/>
      <c r="C35" s="120"/>
      <c r="D35" s="120"/>
      <c r="E35" s="120"/>
      <c r="F35" s="120"/>
      <c r="G35" s="68"/>
      <c r="H35" s="120"/>
      <c r="I35" s="120"/>
      <c r="J35" s="120"/>
      <c r="K35" s="120"/>
      <c r="L35" s="120"/>
    </row>
    <row r="36" spans="1:12" ht="13.5" customHeight="1">
      <c r="A36" s="69" t="str">
        <f>txt!B173&amp;":"</f>
        <v>Bemerkungen:</v>
      </c>
      <c r="B36" s="89"/>
      <c r="C36" s="120"/>
      <c r="D36" s="120"/>
      <c r="E36" s="120"/>
      <c r="F36" s="120"/>
      <c r="G36" s="68"/>
      <c r="H36" s="120"/>
      <c r="I36" s="120"/>
      <c r="J36" s="120"/>
      <c r="K36" s="120"/>
      <c r="L36" s="120"/>
    </row>
    <row r="37" spans="1:12" ht="54" customHeight="1">
      <c r="A37" s="344"/>
      <c r="B37" s="345"/>
      <c r="C37" s="345"/>
      <c r="D37" s="345"/>
      <c r="E37" s="345"/>
      <c r="F37" s="345"/>
      <c r="G37" s="345"/>
      <c r="H37" s="345"/>
      <c r="I37" s="345"/>
      <c r="J37" s="345"/>
      <c r="K37" s="346"/>
      <c r="L37" s="120"/>
    </row>
    <row r="38" spans="1:12" ht="13.5" customHeight="1">
      <c r="A38" s="80"/>
      <c r="B38" s="91"/>
      <c r="C38" s="91"/>
      <c r="D38" s="56"/>
      <c r="E38" s="56"/>
    </row>
    <row r="39" spans="1:12" ht="13.5" customHeight="1">
      <c r="A39" s="78">
        <f>Steuerung!E$35</f>
        <v>0</v>
      </c>
      <c r="C39" s="268" t="str">
        <f>txt!B221</f>
        <v>ZURÜCK</v>
      </c>
      <c r="H39" s="269" t="str">
        <f>IF(COUNTIF($A$17:$A$25,"")=9,"",IF(SUM($C$17:$C$25)&lt;&gt;1,"",IF(COUNTIF($D$17,"")=1,"",IF(COUNTIF($E$17:$E$25,"")=9,"",IF(COUNTIF($F$17:$F$25,"")=9,"",IF(COUNTIF($H$17:$H$25,"")=9,"",IF(COUNTIF($I$17:$I$25,"")=9,"",IF(A39=1,txt!$B$222,""))))))))</f>
        <v/>
      </c>
    </row>
    <row r="40" spans="1:12" ht="13.5" customHeight="1">
      <c r="A40" s="78"/>
      <c r="C40" s="62"/>
      <c r="H40" s="62"/>
    </row>
    <row r="41" spans="1:12" ht="13.5" customHeight="1">
      <c r="A41" s="78">
        <f>Steuerung!H$35</f>
        <v>0</v>
      </c>
      <c r="H41" s="269" t="str">
        <f>IF(COUNTIF($A$17:$A$25,"")=9,"",IF(SUM($C$17:$C$25)&lt;&gt;1,"",IF(COUNTIF($D$17,"")=1,"",IF(COUNTIF($E$17:$E$25,"")=9,"",IF(COUNTIF($F$17:$F$25,"")=9,"",IF(COUNTIF($H$17:$H$25,"")=9,"",IF(COUNTIF($I$17:$I$25,"")=9,"",IF(AND(A39=0,A41=1),txt!$B$222,""))))))))</f>
        <v/>
      </c>
    </row>
    <row r="42" spans="1:12" ht="13.5" customHeight="1">
      <c r="A42" s="78"/>
      <c r="H42" s="62"/>
    </row>
    <row r="43" spans="1:12" ht="13.5" customHeight="1">
      <c r="A43" s="78">
        <f>Steuerung!J$35</f>
        <v>1</v>
      </c>
      <c r="H43" s="269" t="str">
        <f>IF(COUNTIF($A$17:$A$25,"")=9,"",IF(SUM($C$17:$C$25)&lt;&gt;1,"",IF(COUNTIF($D$17,"")=1,"",IF(COUNTIF($E$17:$E$25,"")=9,"",IF(COUNTIF($F$17:$F$25,"")=9,"",IF(COUNTIF($H$17:$H$25,"")=9,"",IF(COUNTIF($I$17:$I$25,"")=9,"",IF(AND(A39=0,A41=0,A43=1),txt!$B$222,""))))))))</f>
        <v/>
      </c>
    </row>
    <row r="44" spans="1:12" ht="13.5" customHeight="1">
      <c r="A44" s="80"/>
      <c r="H44" s="62"/>
    </row>
    <row r="45" spans="1:12" ht="13.5" customHeight="1">
      <c r="A45" s="80"/>
      <c r="H45" s="62"/>
    </row>
    <row r="46" spans="1:12" ht="13.5" customHeight="1">
      <c r="A46" s="80"/>
      <c r="H46" s="62"/>
    </row>
    <row r="47" spans="1:12" ht="13.5" customHeight="1">
      <c r="A47" s="80"/>
      <c r="H47" s="182"/>
    </row>
    <row r="48" spans="1:12" ht="13.5" customHeight="1">
      <c r="A48" s="80"/>
    </row>
    <row r="49" spans="1:1" ht="13.5" customHeight="1">
      <c r="A49" s="80"/>
    </row>
    <row r="50" spans="1:1" ht="13.5" customHeight="1">
      <c r="A50" s="80"/>
    </row>
    <row r="51" spans="1:1" ht="13.5" customHeight="1">
      <c r="A51" s="80"/>
    </row>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0" spans="1:1" ht="13.5" customHeight="1"/>
    <row r="61" spans="1:1" ht="13.5" customHeight="1"/>
  </sheetData>
  <sheetProtection algorithmName="SHA-512" hashValue="ulNYl2+5aPvjY+DgUtOdxO7r6ZwOVl7RmzzUZD7wlk8A1FAsCqJmY+qK7ppK1HBV7S4AfNOECCctxNr8OAuF5A==" saltValue="sHqkGj/7qdpvlkWqNz7N0w==" spinCount="100000" sheet="1" objects="1" scenarios="1"/>
  <mergeCells count="12">
    <mergeCell ref="A37:K37"/>
    <mergeCell ref="C1:F1"/>
    <mergeCell ref="C2:F2"/>
    <mergeCell ref="C3:F3"/>
    <mergeCell ref="A7:C7"/>
    <mergeCell ref="C32:F32"/>
    <mergeCell ref="C34:F34"/>
    <mergeCell ref="A10:I10"/>
    <mergeCell ref="A11:I11"/>
    <mergeCell ref="C26:D26"/>
    <mergeCell ref="C30:F30"/>
    <mergeCell ref="H7:K7"/>
  </mergeCells>
  <conditionalFormatting sqref="H12:K14 J15:K16 K17:K28">
    <cfRule type="expression" dxfId="40" priority="7">
      <formula>$A$38=1</formula>
    </cfRule>
  </conditionalFormatting>
  <conditionalFormatting sqref="H33:K34">
    <cfRule type="expression" dxfId="39" priority="4">
      <formula>$A$38=1</formula>
    </cfRule>
  </conditionalFormatting>
  <conditionalFormatting sqref="J29:K29">
    <cfRule type="expression" dxfId="38" priority="2">
      <formula>$A$38=1</formula>
    </cfRule>
  </conditionalFormatting>
  <dataValidations count="4">
    <dataValidation type="decimal" allowBlank="1" showInputMessage="1" showErrorMessage="1" sqref="C17:C25 H26:I26">
      <formula1>0</formula1>
      <formula2>1</formula2>
    </dataValidation>
    <dataValidation type="decimal" allowBlank="1" showInputMessage="1" showErrorMessage="1" sqref="I24 I18 I20 I22 H18 H20 H22 H24">
      <formula1>0</formula1>
      <formula2>0.99</formula2>
    </dataValidation>
    <dataValidation type="decimal" allowBlank="1" showInputMessage="1" showErrorMessage="1" error="Bitte geben Sie einen Wert zwischen 0% und 99% ein / Entrez une valeur entre 0% et 99%, s.v.p." sqref="H17:I17 H19:I19 H21:I21 H23:I23 H25:I25">
      <formula1>0</formula1>
      <formula2>0.99</formula2>
    </dataValidation>
    <dataValidation type="textLength" allowBlank="1" showInputMessage="1" showErrorMessage="1" error="Bitte verwenden Sie nicht mehr als 199 Zeichen / S.v.p. utilisez 199 caractères au maximum" sqref="A17 A19 A21 A23 A25">
      <formula1>0</formula1>
      <formula2>199</formula2>
    </dataValidation>
  </dataValidations>
  <hyperlinks>
    <hyperlink ref="C39" location="'30'!A1" display="'30'!A1"/>
    <hyperlink ref="H39" location="'32hEX'!A1" display="'32hEX'!A1"/>
    <hyperlink ref="H41" location="'4'!A1" display="'4'!A1"/>
    <hyperlink ref="H43" location="'5'!A1" display="'5'!A1"/>
  </hyperlinks>
  <pageMargins left="0.74803149606299213" right="0.74803149606299213" top="0.39370078740157483" bottom="0.19685039370078741" header="0.51181102362204722" footer="0.51181102362204722"/>
  <pageSetup paperSize="9" scale="84"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6" operator="equal" id="{ADE91224-98CF-E448-BD73-8F83D40CD504}">
            <xm:f>txt!$B$222</xm:f>
            <x14:dxf>
              <font>
                <u/>
                <color rgb="FF0000FF"/>
              </font>
              <fill>
                <patternFill patternType="solid">
                  <fgColor indexed="64"/>
                  <bgColor rgb="FFFFFF00"/>
                </patternFill>
              </fill>
            </x14:dxf>
          </x14:cfRule>
          <xm:sqref>H46:H47</xm:sqref>
        </x14:conditionalFormatting>
        <x14:conditionalFormatting xmlns:xm="http://schemas.microsoft.com/office/excel/2006/main">
          <x14:cfRule type="cellIs" priority="1" operator="equal" id="{19497FB4-060C-754D-BB49-72DAE105AC2B}">
            <xm:f>txt!$B$222</xm:f>
            <x14:dxf>
              <font>
                <u/>
                <color rgb="FF0000FF"/>
              </font>
              <fill>
                <patternFill patternType="solid">
                  <fgColor indexed="64"/>
                  <bgColor rgb="FFFFFF00"/>
                </patternFill>
              </fill>
            </x14:dxf>
          </x14:cfRule>
          <xm:sqref>H39:H45</xm:sqref>
        </x14:conditionalFormatting>
      </x14:conditionalFormattings>
    </ex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tabColor theme="8" tint="0.39997558519241921"/>
    <pageSetUpPr fitToPage="1"/>
  </sheetPr>
  <dimension ref="A1:AU48"/>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373" t="str">
        <f>txt!B47&amp;": "&amp;txt!B51</f>
        <v>Geschäftsfeld: Betrieb-, Support-, Installations- und Wartungsleistungen</v>
      </c>
      <c r="B7" s="373"/>
      <c r="C7" s="373"/>
      <c r="D7" s="63"/>
      <c r="E7" s="63"/>
      <c r="F7" s="63"/>
      <c r="G7" s="63"/>
      <c r="H7" s="349" t="str">
        <f>" "&amp;REPT("|",INT(Steuerung!AF35*107))</f>
        <v xml:space="preserve"> </v>
      </c>
      <c r="I7" s="350"/>
      <c r="J7" s="350"/>
      <c r="K7" s="351"/>
      <c r="L7" s="63"/>
    </row>
    <row r="8" spans="1:16" ht="13.5" customHeight="1">
      <c r="A8" s="63" t="str">
        <f>txt!B48&amp;": "&amp;txt!B61</f>
        <v>Dienstleistungstyp: Installation</v>
      </c>
      <c r="B8" s="63"/>
      <c r="C8" s="63"/>
      <c r="D8" s="63"/>
      <c r="E8" s="63"/>
      <c r="F8" s="63"/>
      <c r="G8" s="63"/>
      <c r="H8" s="63"/>
      <c r="I8" s="63"/>
      <c r="J8" s="63"/>
      <c r="K8" s="65" t="str">
        <f>IF(COUNTIF($A$17:$A$25,"")=9,txt!B228,IF(SUM($C$17:$C$25)&lt;&gt;1,txt!B227,IF(COUNTIF($D$17,"")=1,txt!B235,IF(COUNTIF($E$17:$E$25,"")=9,txt!B233,IF(COUNTIF($F$17:$F$25,"")=9,txt!B234,IF(COUNTIF($H$17:$H$25,"")=9,txt!B251,IF(COUNTIF($I$17:$I$25,"")=9,txt!B251,"")))))))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206"/>
      <c r="K10" s="206"/>
      <c r="L10" s="206"/>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205"/>
      <c r="K11" s="205"/>
      <c r="L11" s="205"/>
      <c r="P11" s="117"/>
    </row>
    <row r="12" spans="1:16" ht="13.5" customHeight="1"/>
    <row r="13" spans="1:16" ht="13.5" customHeight="1">
      <c r="A13" s="57" t="str">
        <f>txt!B140</f>
        <v>Definieren Sie je 3 bis 5 repräsentative Qualifikationsstufen:</v>
      </c>
      <c r="C13" s="57" t="str">
        <f>txt!B158</f>
        <v>Kunde im Ausland</v>
      </c>
      <c r="H13" s="57" t="str">
        <f>txt!B158</f>
        <v>Kunde im Ausland</v>
      </c>
    </row>
    <row r="14" spans="1:16" ht="13.5" customHeight="1"/>
    <row r="15" spans="1:16" ht="13.5" customHeight="1">
      <c r="A15" s="69" t="str">
        <f>txt!B111&amp;"-"&amp;txt!B113</f>
        <v>Run-Bereich</v>
      </c>
      <c r="B15" s="89"/>
      <c r="C15" s="118"/>
      <c r="D15" s="118"/>
      <c r="E15" s="118" t="str">
        <f>txt!B23</f>
        <v>März 2022</v>
      </c>
      <c r="F15" s="118" t="str">
        <f>txt!B24</f>
        <v>März 2021</v>
      </c>
      <c r="G15" s="119"/>
      <c r="H15" s="118" t="str">
        <f>E15</f>
        <v>März 2022</v>
      </c>
      <c r="I15" s="118" t="str">
        <f>F15</f>
        <v>März 2021</v>
      </c>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L16" s="120"/>
    </row>
    <row r="17" spans="1:47" ht="13.5" customHeight="1">
      <c r="A17" s="281" t="s">
        <v>662</v>
      </c>
      <c r="B17" s="89"/>
      <c r="C17" s="266"/>
      <c r="D17" s="305"/>
      <c r="E17" s="283"/>
      <c r="F17" s="283"/>
      <c r="G17" s="68"/>
      <c r="H17" s="266"/>
      <c r="I17" s="266"/>
      <c r="J17" s="68"/>
      <c r="L17" s="120"/>
    </row>
    <row r="18" spans="1:47" ht="7.5" customHeight="1">
      <c r="A18" s="60"/>
      <c r="B18" s="89"/>
      <c r="C18" s="120"/>
      <c r="D18" s="120"/>
      <c r="E18" s="122"/>
      <c r="F18" s="122"/>
      <c r="G18" s="68"/>
      <c r="H18" s="120"/>
      <c r="I18" s="304"/>
      <c r="J18" s="120"/>
      <c r="L18" s="120"/>
    </row>
    <row r="19" spans="1:47" ht="13.5" customHeight="1">
      <c r="A19" s="281" t="s">
        <v>663</v>
      </c>
      <c r="B19" s="89"/>
      <c r="C19" s="266"/>
      <c r="D19" s="121" t="str">
        <f>IF(C19="","",D17)</f>
        <v/>
      </c>
      <c r="E19" s="283"/>
      <c r="F19" s="283"/>
      <c r="G19" s="68"/>
      <c r="H19" s="266"/>
      <c r="I19" s="266"/>
      <c r="J19" s="68"/>
      <c r="L19" s="120"/>
    </row>
    <row r="20" spans="1:47" ht="7.5" customHeight="1">
      <c r="A20" s="60"/>
      <c r="B20" s="89"/>
      <c r="C20" s="120"/>
      <c r="D20" s="120"/>
      <c r="E20" s="122"/>
      <c r="F20" s="122"/>
      <c r="G20" s="68"/>
      <c r="H20" s="120"/>
      <c r="I20" s="120"/>
      <c r="J20" s="122"/>
      <c r="L20" s="120"/>
    </row>
    <row r="21" spans="1:47" ht="13.5" customHeight="1">
      <c r="A21" s="281" t="s">
        <v>664</v>
      </c>
      <c r="B21" s="89"/>
      <c r="C21" s="266"/>
      <c r="D21" s="121" t="str">
        <f>IF(C21="","",D19)</f>
        <v/>
      </c>
      <c r="E21" s="283"/>
      <c r="F21" s="283"/>
      <c r="G21" s="68"/>
      <c r="H21" s="266"/>
      <c r="I21" s="266"/>
      <c r="J21" s="68"/>
      <c r="L21" s="120"/>
    </row>
    <row r="22" spans="1:47" ht="7.5" customHeight="1">
      <c r="A22" s="60"/>
      <c r="B22" s="89"/>
      <c r="C22" s="120"/>
      <c r="D22" s="120"/>
      <c r="E22" s="122"/>
      <c r="F22" s="122"/>
      <c r="G22" s="68"/>
      <c r="H22" s="120"/>
      <c r="I22" s="120"/>
      <c r="J22" s="122"/>
      <c r="L22" s="120"/>
    </row>
    <row r="23" spans="1:47" ht="13.5" customHeight="1">
      <c r="A23" s="281"/>
      <c r="B23" s="89"/>
      <c r="C23" s="266"/>
      <c r="D23" s="121" t="str">
        <f>IF(C23="","",D21)</f>
        <v/>
      </c>
      <c r="E23" s="283"/>
      <c r="F23" s="283"/>
      <c r="G23" s="68"/>
      <c r="H23" s="266"/>
      <c r="I23" s="266"/>
      <c r="J23" s="68"/>
      <c r="L23" s="120"/>
    </row>
    <row r="24" spans="1:47" ht="7.5" customHeight="1">
      <c r="A24" s="60"/>
      <c r="B24" s="89"/>
      <c r="C24" s="120"/>
      <c r="D24" s="122"/>
      <c r="E24" s="122"/>
      <c r="F24" s="122"/>
      <c r="G24" s="68"/>
      <c r="H24" s="120"/>
      <c r="I24" s="120"/>
      <c r="J24" s="122"/>
      <c r="L24" s="120"/>
    </row>
    <row r="25" spans="1:47" ht="13.5" customHeight="1">
      <c r="A25" s="281"/>
      <c r="B25" s="89"/>
      <c r="C25" s="266"/>
      <c r="D25" s="121" t="str">
        <f>IF(C25="","",D23)</f>
        <v/>
      </c>
      <c r="E25" s="283"/>
      <c r="F25" s="283"/>
      <c r="G25" s="68"/>
      <c r="H25" s="266"/>
      <c r="I25" s="266"/>
      <c r="J25" s="68"/>
      <c r="L25" s="120"/>
    </row>
    <row r="26" spans="1:47" ht="13.5" customHeight="1">
      <c r="A26" s="69"/>
      <c r="B26" s="89"/>
      <c r="C26" s="356" t="str">
        <f>SUM(C17:C25)*100&amp;txt!$B$224</f>
        <v>0% von 100% zugeteilt</v>
      </c>
      <c r="D26" s="356"/>
      <c r="E26" s="120"/>
      <c r="F26" s="120"/>
      <c r="G26" s="68"/>
      <c r="H26" s="120"/>
      <c r="I26" s="120"/>
      <c r="J26" s="120"/>
      <c r="K26" s="120"/>
      <c r="L26" s="120"/>
    </row>
    <row r="27" spans="1:47" ht="13.5" customHeight="1">
      <c r="A27" s="69"/>
      <c r="B27" s="89"/>
      <c r="C27" s="120"/>
      <c r="D27" s="120"/>
      <c r="E27" s="120"/>
      <c r="F27" s="120"/>
      <c r="G27" s="68"/>
      <c r="H27" s="120"/>
      <c r="I27" s="120"/>
      <c r="J27" s="120"/>
      <c r="K27" s="120"/>
      <c r="L27" s="120"/>
    </row>
    <row r="28" spans="1:47" s="131" customFormat="1" ht="13.5" customHeight="1">
      <c r="A28" s="125" t="str">
        <f>txt!B138&amp;": "&amp;txt!B139</f>
        <v>Beispiel: Projektleiter</v>
      </c>
      <c r="B28" s="126"/>
      <c r="C28" s="127">
        <v>0.28000000000000003</v>
      </c>
      <c r="D28" s="128" t="s">
        <v>159</v>
      </c>
      <c r="E28" s="129">
        <v>160</v>
      </c>
      <c r="F28" s="129">
        <v>160</v>
      </c>
      <c r="G28" s="130"/>
      <c r="H28" s="209">
        <v>0.08</v>
      </c>
      <c r="I28" s="209">
        <v>0.05</v>
      </c>
      <c r="J28" s="130"/>
      <c r="K28" s="120"/>
    </row>
    <row r="29" spans="1:47" ht="7.5" customHeight="1">
      <c r="A29" s="69"/>
      <c r="B29" s="89"/>
      <c r="C29" s="120"/>
      <c r="D29" s="120"/>
      <c r="E29" s="120"/>
      <c r="F29" s="120"/>
      <c r="G29" s="68"/>
      <c r="H29" s="120"/>
      <c r="I29" s="120"/>
      <c r="J29" s="120"/>
      <c r="K29" s="120"/>
      <c r="L29" s="120"/>
    </row>
    <row r="30" spans="1:47" s="79" customFormat="1" ht="67.5" customHeight="1">
      <c r="A30" s="233" t="str">
        <f>txt!B112</f>
        <v>Mitarbeiter des 'Run'-Bereichs sind zum Beispiel System-Specialist, Helpdesk-Mitarbeiter, System-Administator, ICT-Supporter, System-Controller, Benutzer-Supporter, ICT-Techniker, ICT-System-Manager.</v>
      </c>
      <c r="B30" s="89"/>
      <c r="C30" s="339" t="str">
        <f>txt!B160</f>
        <v>Definition "Kunde im Ausland": Adresse des Leistungsbezügers im Ausland.</v>
      </c>
      <c r="D30" s="339"/>
      <c r="E30" s="339"/>
      <c r="F30" s="339"/>
      <c r="G30" s="132"/>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row>
    <row r="31" spans="1:47" ht="7.5" customHeight="1">
      <c r="A31" s="69"/>
      <c r="B31" s="69"/>
      <c r="C31" s="69"/>
      <c r="D31" s="69"/>
      <c r="E31" s="69"/>
      <c r="F31" s="69"/>
      <c r="G31" s="69"/>
    </row>
    <row r="32" spans="1:47" ht="54" customHeight="1">
      <c r="A32" s="233" t="str">
        <f>txt!B145&amp;":
"&amp;txt!B146</f>
        <v>Stundenansätze:
Die ausgewiesenen Preise sollen den durchschnittlichen (über alle Kunden) effektiv verrechneten Stundenansätzen entsprechen (Rabatte sind separat auszuweisen).</v>
      </c>
      <c r="B32" s="89"/>
      <c r="C32" s="339" t="str">
        <f>txt!B169</f>
        <v>Die Preise sind ohne Mehrwertsteuer anzugeben.</v>
      </c>
      <c r="D32" s="339"/>
      <c r="E32" s="339"/>
      <c r="F32" s="339"/>
      <c r="G32" s="68"/>
    </row>
    <row r="33" spans="1:12" ht="7.5" customHeight="1">
      <c r="A33" s="69"/>
      <c r="B33" s="89"/>
      <c r="C33" s="120"/>
      <c r="D33" s="120"/>
      <c r="E33" s="120"/>
      <c r="F33" s="120"/>
      <c r="G33" s="68"/>
    </row>
    <row r="34" spans="1:12" ht="67.5" customHeight="1">
      <c r="B34" s="89"/>
      <c r="C34" s="339" t="str">
        <f>txt!B155</f>
        <v xml:space="preserve">Die Zeitanteile der angegebenen Qualifikationsstufen müssen sich zu 100% addieren. Gegebenenfalls nicht genannte Qualifikationsstufen sind bei den Zeitanteilen also nicht zu berücksichtigen.  </v>
      </c>
      <c r="D34" s="339"/>
      <c r="E34" s="339"/>
      <c r="F34" s="339"/>
      <c r="G34" s="68"/>
    </row>
    <row r="35" spans="1:12" ht="13.5" customHeight="1">
      <c r="A35" s="69"/>
      <c r="B35" s="89"/>
      <c r="C35" s="120"/>
      <c r="D35" s="120"/>
      <c r="E35" s="120"/>
      <c r="F35" s="120"/>
      <c r="G35" s="68"/>
      <c r="H35" s="120"/>
      <c r="I35" s="120"/>
      <c r="J35" s="120"/>
      <c r="K35" s="120"/>
      <c r="L35" s="120"/>
    </row>
    <row r="36" spans="1:12" ht="13.5" customHeight="1">
      <c r="A36" s="69" t="str">
        <f>txt!B173&amp;":"</f>
        <v>Bemerkungen:</v>
      </c>
      <c r="B36" s="89"/>
      <c r="C36" s="120"/>
      <c r="D36" s="120"/>
      <c r="E36" s="120"/>
      <c r="F36" s="120"/>
      <c r="G36" s="68"/>
      <c r="H36" s="120"/>
      <c r="I36" s="120"/>
      <c r="J36" s="120"/>
      <c r="K36" s="120"/>
      <c r="L36" s="120"/>
    </row>
    <row r="37" spans="1:12" ht="54" customHeight="1">
      <c r="A37" s="344"/>
      <c r="B37" s="345"/>
      <c r="C37" s="345"/>
      <c r="D37" s="345"/>
      <c r="E37" s="345"/>
      <c r="F37" s="345"/>
      <c r="G37" s="345"/>
      <c r="H37" s="345"/>
      <c r="I37" s="345"/>
      <c r="J37" s="345"/>
      <c r="K37" s="346"/>
      <c r="L37" s="120"/>
    </row>
    <row r="38" spans="1:12" ht="13.5" customHeight="1">
      <c r="A38" s="78"/>
      <c r="B38" s="91"/>
      <c r="C38" s="91"/>
      <c r="D38" s="56"/>
      <c r="E38" s="56"/>
    </row>
    <row r="39" spans="1:12" ht="13.5" customHeight="1">
      <c r="A39" s="78">
        <f>Steuerung!H$35</f>
        <v>0</v>
      </c>
      <c r="C39" s="268" t="str">
        <f>txt!B221</f>
        <v>ZURÜCK</v>
      </c>
      <c r="H39" s="269" t="str">
        <f>IF(COUNTIF($A$17:$A$25,"")=9,"",IF(SUM($C$17:$C$25)&lt;&gt;1,"",IF(COUNTIF($D$17,"")=1,"",IF(COUNTIF($E$17:$E$25,"")=9,"",IF(COUNTIF($F$17:$F$25,"")=9,"",IF(COUNTIF($H$17:$H$25,"")=9,"",IF(COUNTIF($I$17:$I$25,"")=9,"",IF(A39=1,txt!$B$222,""))))))))</f>
        <v/>
      </c>
    </row>
    <row r="40" spans="1:12" ht="13.5" customHeight="1">
      <c r="A40" s="78"/>
      <c r="C40" s="62"/>
      <c r="H40" s="62"/>
    </row>
    <row r="41" spans="1:12" ht="13.5" customHeight="1">
      <c r="A41" s="78">
        <f>Steuerung!J$35</f>
        <v>1</v>
      </c>
      <c r="H41" s="269" t="str">
        <f>IF(COUNTIF($A$17:$A$25,"")=9,"",IF(SUM($C$17:$C$25)&lt;&gt;1,"",IF(COUNTIF($D$17,"")=1,"",IF(COUNTIF($E$17:$E$25,"")=9,"",IF(COUNTIF($F$17:$F$25,"")=9,"",IF(COUNTIF($H$17:$H$25,"")=9,"",IF(COUNTIF($I$17:$I$25,"")=9,"",IF(AND(A39=0,A41=1),txt!$B$222,""))))))))</f>
        <v/>
      </c>
    </row>
    <row r="42" spans="1:12" ht="13.5" customHeight="1">
      <c r="A42" s="78"/>
      <c r="H42" s="62"/>
    </row>
    <row r="43" spans="1:12" ht="13.5" customHeight="1">
      <c r="A43" s="78">
        <f>Steuerung!L$6</f>
        <v>0</v>
      </c>
    </row>
    <row r="44" spans="1:12" ht="13.5" customHeight="1">
      <c r="A44" s="78"/>
    </row>
    <row r="45" spans="1:12" ht="13.5" customHeight="1">
      <c r="A45" s="78">
        <f>Steuerung!N$6</f>
        <v>0</v>
      </c>
    </row>
    <row r="46" spans="1:12" ht="13.5" customHeight="1">
      <c r="A46" s="78"/>
    </row>
    <row r="47" spans="1:12" ht="13.5" customHeight="1">
      <c r="A47" s="78">
        <f>Steuerung!P$6</f>
        <v>1</v>
      </c>
    </row>
    <row r="48" spans="1:12" ht="13.5" customHeight="1"/>
  </sheetData>
  <sheetProtection algorithmName="SHA-512" hashValue="KVWpIuAtgazeIagdsjf/bkdyHvb8KTE0KFVA2Ij5ewGn+aKTGzPFZHnmR0PJF+300FPUNAYVUCxJXPDBe3f97g==" saltValue="h+zjRN1p7tzM5op02QlLBA==" spinCount="100000" sheet="1" objects="1" scenarios="1"/>
  <mergeCells count="12">
    <mergeCell ref="C34:F34"/>
    <mergeCell ref="A37:K37"/>
    <mergeCell ref="A11:I11"/>
    <mergeCell ref="C26:D26"/>
    <mergeCell ref="C30:F30"/>
    <mergeCell ref="C32:F32"/>
    <mergeCell ref="A10:I10"/>
    <mergeCell ref="C1:F1"/>
    <mergeCell ref="C2:F2"/>
    <mergeCell ref="C3:F3"/>
    <mergeCell ref="A7:C7"/>
    <mergeCell ref="H7:K7"/>
  </mergeCells>
  <dataValidations count="4">
    <dataValidation type="decimal" allowBlank="1" showInputMessage="1" showErrorMessage="1" sqref="C17:C25 J18 H26:I26">
      <formula1>0</formula1>
      <formula2>1</formula2>
    </dataValidation>
    <dataValidation type="decimal" allowBlank="1" showInputMessage="1" showErrorMessage="1" sqref="I24 I18 I20 I22 H18 H20 H22 H24">
      <formula1>0</formula1>
      <formula2>0.99</formula2>
    </dataValidation>
    <dataValidation type="decimal" allowBlank="1" showInputMessage="1" showErrorMessage="1" error="Bitte geben Sie einen Wert zwischen 0% und 99% ein / Entrez une valeur entre 0% et 99%, s.v.p." sqref="H17:I17 H19:I19 H21:I21 H23:I23 H25:I25">
      <formula1>0</formula1>
      <formula2>0.99</formula2>
    </dataValidation>
    <dataValidation type="textLength" allowBlank="1" showInputMessage="1" showErrorMessage="1" error="Bitte verwenden Sie nicht mehr als 200 Zeichen / S.v.p. utilisez 200 caractères au maximum" sqref="A17 A19 A21 A23 A25">
      <formula1>0</formula1>
      <formula2>199</formula2>
    </dataValidation>
  </dataValidations>
  <hyperlinks>
    <hyperlink ref="C39" location="'32hCH'!A1" display="'32hCH'!A1"/>
    <hyperlink ref="H39" location="'4'!A1" display="'4'!A1"/>
    <hyperlink ref="H41" location="'5'!A1" display="'5'!A1"/>
  </hyperlinks>
  <pageMargins left="0.74803149606299213" right="0.74803149606299213" top="0.39370078740157483" bottom="0.19685039370078741" header="0.51181102362204722" footer="0.51181102362204722"/>
  <pageSetup paperSize="9" scale="84"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3" operator="equal" id="{FE131B59-B4FD-9B47-9457-305DBE389B07}">
            <xm:f>txt!$B$222</xm:f>
            <x14:dxf>
              <font>
                <u/>
                <color rgb="FF0000FF"/>
              </font>
              <fill>
                <patternFill patternType="solid">
                  <fgColor indexed="64"/>
                  <bgColor rgb="FFFFFF00"/>
                </patternFill>
              </fill>
            </x14:dxf>
          </x14:cfRule>
          <xm:sqref>H42</xm:sqref>
        </x14:conditionalFormatting>
        <x14:conditionalFormatting xmlns:xm="http://schemas.microsoft.com/office/excel/2006/main">
          <x14:cfRule type="cellIs" priority="1" operator="equal" id="{6B61CF4B-2380-A54B-BFCB-99DC8430CD31}">
            <xm:f>txt!$B$222</xm:f>
            <x14:dxf>
              <font>
                <u/>
                <color rgb="FF0000FF"/>
              </font>
              <fill>
                <patternFill patternType="solid">
                  <fgColor indexed="64"/>
                  <bgColor rgb="FFFFFF00"/>
                </patternFill>
              </fill>
            </x14:dxf>
          </x14:cfRule>
          <xm:sqref>H39:H41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D17</xm:sqref>
        </x14:dataValidation>
      </x14:dataValidations>
    </ex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tabColor theme="9"/>
    <pageSetUpPr fitToPage="1"/>
  </sheetPr>
  <dimension ref="A1:AS179"/>
  <sheetViews>
    <sheetView workbookViewId="0">
      <selection activeCell="C13" sqref="C13"/>
    </sheetView>
  </sheetViews>
  <sheetFormatPr baseColWidth="10" defaultColWidth="10.6640625" defaultRowHeight="12.75"/>
  <cols>
    <col min="1" max="1" width="50.6640625" style="79" customWidth="1"/>
    <col min="2" max="2" width="2.6640625" style="79" customWidth="1"/>
    <col min="3" max="3" width="32.6640625" style="79" customWidth="1"/>
    <col min="4" max="4" width="2.6640625" style="133" customWidth="1"/>
    <col min="5" max="5" width="32.6640625" style="79" customWidth="1"/>
    <col min="6" max="6" width="5.6640625" style="50" customWidth="1"/>
    <col min="7" max="7" width="60.6640625" style="50" customWidth="1"/>
    <col min="8" max="45" width="10.6640625" style="50"/>
    <col min="46" max="16384" width="10.6640625" style="79"/>
  </cols>
  <sheetData>
    <row r="1" spans="1:5" ht="15" customHeight="1">
      <c r="A1" s="50"/>
      <c r="B1" s="366" t="str">
        <f>txt!B42</f>
        <v>Preiserhebung</v>
      </c>
      <c r="C1" s="366"/>
      <c r="D1" s="366"/>
      <c r="E1" s="51" t="str">
        <f>txt!B175</f>
        <v>Eidg. Departement des Innern</v>
      </c>
    </row>
    <row r="2" spans="1:5" ht="15" customHeight="1">
      <c r="A2" s="50"/>
      <c r="B2" s="366" t="str">
        <f>txt!B43</f>
        <v>Produzentenpreisindex</v>
      </c>
      <c r="C2" s="366"/>
      <c r="D2" s="366"/>
      <c r="E2" s="51" t="str">
        <f>txt!B176</f>
        <v>Bundesamt für Statistik BFS</v>
      </c>
    </row>
    <row r="3" spans="1:5" ht="15" customHeight="1">
      <c r="A3" s="50"/>
      <c r="B3" s="366" t="str">
        <f>txt!B44</f>
        <v>Informatikdienstleistungen</v>
      </c>
      <c r="C3" s="366"/>
      <c r="D3" s="366"/>
      <c r="E3" s="51" t="str">
        <f>txt!B177</f>
        <v>Abt. Wirtschaft, Sektion PREIS</v>
      </c>
    </row>
    <row r="4" spans="1:5" ht="13.5" customHeight="1">
      <c r="A4" s="63"/>
      <c r="B4" s="63"/>
      <c r="C4" s="63"/>
      <c r="D4" s="63"/>
      <c r="E4" s="50"/>
    </row>
    <row r="5" spans="1:5" ht="13.5" customHeight="1">
      <c r="A5" s="63" t="str">
        <f>txt!B46</f>
        <v>PMS-Nr. 0</v>
      </c>
      <c r="B5" s="63"/>
      <c r="C5" s="63"/>
      <c r="D5" s="63"/>
      <c r="E5" s="64" t="str">
        <f>txt!B45</f>
        <v/>
      </c>
    </row>
    <row r="6" spans="1:5" ht="13.5" customHeight="1">
      <c r="A6" s="63"/>
      <c r="B6" s="63"/>
      <c r="C6" s="63"/>
      <c r="D6" s="63"/>
      <c r="E6" s="50"/>
    </row>
    <row r="7" spans="1:5" ht="13.5" customHeight="1">
      <c r="A7" s="63" t="str">
        <f>txt!B47&amp;": "&amp;txt!B52</f>
        <v>Geschäftsfeld: IT-Infrastrukturdienste</v>
      </c>
      <c r="B7" s="63"/>
      <c r="C7" s="63"/>
      <c r="D7" s="63"/>
      <c r="E7" s="83" t="str">
        <f>" "&amp;REPT("|",INT(Steuerung!V38*100))</f>
        <v xml:space="preserve"> </v>
      </c>
    </row>
    <row r="8" spans="1:5" ht="13.5" customHeight="1">
      <c r="A8" s="63"/>
      <c r="B8" s="63"/>
      <c r="C8" s="63"/>
      <c r="D8" s="63"/>
      <c r="E8" s="65" t="str">
        <f>IF(SUM(C13:C17)=1,IF(COUNTIF(E13:E17,"")=2,"",txt!B229),txt!B230)</f>
        <v>Bitte geben Sie die Umsatzanteile richtig und vollständig an</v>
      </c>
    </row>
    <row r="9" spans="1:5" ht="13.5" customHeight="1">
      <c r="A9" s="63"/>
      <c r="B9" s="63"/>
      <c r="C9" s="63"/>
      <c r="D9" s="63"/>
      <c r="E9" s="63"/>
    </row>
    <row r="10" spans="1:5" ht="13.5" customHeight="1">
      <c r="A10" s="340" t="str">
        <f>txt!B119&amp;" "&amp;txt!B52&amp;" "&amp;txt!B120</f>
        <v>Wie kann der Umsatz mit  IT-Infrastrukturdienste im Jahr 2021 aufgeteilt werden und welcher Anteil der Dienstleistung wird ins Ausland exportiert?</v>
      </c>
      <c r="B10" s="340"/>
      <c r="C10" s="340"/>
      <c r="D10" s="340"/>
      <c r="E10" s="340"/>
    </row>
    <row r="11" spans="1:5" ht="13.5" customHeight="1">
      <c r="A11" s="161"/>
      <c r="B11" s="161"/>
      <c r="C11" s="161"/>
      <c r="D11" s="68"/>
      <c r="E11" s="50"/>
    </row>
    <row r="12" spans="1:5" ht="27" customHeight="1">
      <c r="A12" s="69"/>
      <c r="B12" s="89"/>
      <c r="C12" s="59" t="str">
        <f>txt!B121</f>
        <v>Umsatzanteil am Geschäftsfeld</v>
      </c>
      <c r="D12" s="89"/>
      <c r="E12" s="59" t="str">
        <f>txt!B122</f>
        <v>Exportanteil im Dienstleistungstyp</v>
      </c>
    </row>
    <row r="13" spans="1:5" ht="13.5" customHeight="1">
      <c r="A13" s="60" t="str">
        <f>txt!B48&amp;": "&amp;txt!B62</f>
        <v>Dienstleistungstyp: Infrastructure as a Service (IaaS)</v>
      </c>
      <c r="B13" s="89"/>
      <c r="C13" s="273"/>
      <c r="D13" s="89"/>
      <c r="E13" s="273"/>
    </row>
    <row r="14" spans="1:5" ht="7.5" customHeight="1">
      <c r="A14" s="60"/>
      <c r="B14" s="89"/>
      <c r="C14" s="90"/>
      <c r="D14" s="89"/>
      <c r="E14" s="90"/>
    </row>
    <row r="15" spans="1:5" ht="13.5" customHeight="1">
      <c r="A15" s="60" t="str">
        <f>txt!B48&amp;": "&amp;txt!B63</f>
        <v>Dienstleistungstyp: Platform as a Service (PaaS)</v>
      </c>
      <c r="B15" s="89"/>
      <c r="C15" s="273"/>
      <c r="D15" s="89"/>
      <c r="E15" s="273"/>
    </row>
    <row r="16" spans="1:5" ht="7.5" customHeight="1">
      <c r="A16" s="60"/>
      <c r="B16" s="89"/>
      <c r="C16" s="90"/>
      <c r="D16" s="89"/>
      <c r="E16" s="90"/>
    </row>
    <row r="17" spans="1:5" ht="13.5" customHeight="1">
      <c r="A17" s="60" t="str">
        <f>txt!B48&amp;": "&amp;txt!B64</f>
        <v>Dienstleistungstyp: Software as a Service (SaaS)</v>
      </c>
      <c r="B17" s="89"/>
      <c r="C17" s="273"/>
      <c r="D17" s="89"/>
      <c r="E17" s="273"/>
    </row>
    <row r="18" spans="1:5" ht="13.5" customHeight="1">
      <c r="A18" s="69"/>
      <c r="B18" s="89"/>
      <c r="C18" s="61" t="str">
        <f>SUM(C13:C17)*100&amp;txt!$B$224</f>
        <v>0% von 100% zugeteilt</v>
      </c>
      <c r="D18" s="162"/>
      <c r="E18" s="163"/>
    </row>
    <row r="19" spans="1:5" ht="13.5" customHeight="1">
      <c r="A19" s="68"/>
      <c r="B19" s="68"/>
      <c r="C19" s="68"/>
      <c r="D19" s="68"/>
      <c r="E19" s="50"/>
    </row>
    <row r="20" spans="1:5" ht="13.5" customHeight="1">
      <c r="A20" s="50"/>
      <c r="B20" s="50"/>
      <c r="C20" s="50"/>
      <c r="D20" s="50"/>
      <c r="E20" s="50"/>
    </row>
    <row r="21" spans="1:5" ht="13.5" customHeight="1">
      <c r="A21" s="164" t="str">
        <f>txt!B218&amp;":"</f>
        <v>Definitionen:</v>
      </c>
      <c r="B21" s="156"/>
      <c r="C21" s="156"/>
      <c r="D21" s="50"/>
      <c r="E21" s="50"/>
    </row>
    <row r="22" spans="1:5" ht="7.5" customHeight="1">
      <c r="A22" s="156"/>
      <c r="B22" s="156"/>
      <c r="C22" s="156"/>
      <c r="D22" s="156"/>
      <c r="E22" s="156"/>
    </row>
    <row r="23" spans="1:5" ht="54" customHeight="1">
      <c r="A23" s="73" t="str">
        <f>txt!B79</f>
        <v>Der Dienstleistungstyp "Infrastrcture as a Service (IaaS)" umfasst die Bereitstellung von Serverleistung, Rechenkapazität, Speicherkapazität, Netzwerkdiensten etc., sowohl physisch wie auch virtuell separiert (z.B. ein Rack in einem RZ).</v>
      </c>
      <c r="B23" s="156"/>
      <c r="C23" s="74"/>
      <c r="D23" s="50"/>
      <c r="E23" s="73" t="str">
        <f>txt!B83</f>
        <v>Dienstleistungen gelten als exportiert, wenn die Adresse des Leistungsbezügers im Ausland liegt.</v>
      </c>
    </row>
    <row r="24" spans="1:5" ht="7.5" customHeight="1">
      <c r="A24" s="156"/>
      <c r="B24" s="156"/>
      <c r="C24" s="156"/>
      <c r="D24" s="156"/>
      <c r="E24" s="156"/>
    </row>
    <row r="25" spans="1:5" ht="54" customHeight="1">
      <c r="A25" s="154" t="str">
        <f>txt!B80</f>
        <v>Der Dienstleistungstyp "Platform as a Service (PaaS)" erlaubt den Betrieb von eigener Software auf einer fremden Plattform wie z.B. das Web-Hosting mit Control Panels oder Datenbanklösungen.</v>
      </c>
      <c r="B25" s="156"/>
      <c r="C25" s="156"/>
      <c r="D25" s="50"/>
    </row>
    <row r="26" spans="1:5" ht="7.5" customHeight="1">
      <c r="A26" s="156"/>
      <c r="B26" s="156"/>
      <c r="C26" s="156"/>
      <c r="D26" s="156"/>
      <c r="E26" s="156"/>
    </row>
    <row r="27" spans="1:5" ht="54" customHeight="1">
      <c r="A27" s="154" t="str">
        <f>txt!B81</f>
        <v>Der Dienstleistungstyp "Software as a Service (SaaS)" erlaubt dem Kunden die Benützung von Softwarediensten auf einer fremden Infrastruktur, z.B. CRM (Customer Relationshiop Management) oder ERP (Enterprise Ressource Planning).</v>
      </c>
      <c r="B27" s="156"/>
      <c r="C27" s="156"/>
      <c r="D27" s="50"/>
      <c r="E27" s="50"/>
    </row>
    <row r="28" spans="1:5" s="50" customFormat="1" ht="13.5" customHeight="1"/>
    <row r="29" spans="1:5" s="50" customFormat="1" ht="13.5" customHeight="1">
      <c r="C29" s="303" t="str">
        <f>txt!$B$221</f>
        <v>ZURÜCK</v>
      </c>
      <c r="E29" s="269" t="str">
        <f>IF(SUM(C13:C17)=1,IF(COUNTIF(E13:E17,"")=2,txt!B222,""),"")</f>
        <v/>
      </c>
    </row>
    <row r="30" spans="1:5" s="50" customFormat="1">
      <c r="E30" s="112"/>
    </row>
    <row r="31" spans="1:5" s="50" customFormat="1">
      <c r="E31" s="112"/>
    </row>
    <row r="32" spans="1:5" s="50" customFormat="1">
      <c r="E32" s="112"/>
    </row>
    <row r="33" spans="5:5" s="50" customFormat="1">
      <c r="E33" s="112"/>
    </row>
    <row r="34" spans="5:5" s="50" customFormat="1">
      <c r="E34" s="112"/>
    </row>
    <row r="35" spans="5:5" s="50" customFormat="1">
      <c r="E35" s="112"/>
    </row>
    <row r="36" spans="5:5" s="50" customFormat="1">
      <c r="E36" s="112"/>
    </row>
    <row r="37" spans="5:5" s="50" customFormat="1">
      <c r="E37" s="112"/>
    </row>
    <row r="38" spans="5:5" s="50" customFormat="1">
      <c r="E38" s="112"/>
    </row>
    <row r="39" spans="5:5" s="50" customFormat="1">
      <c r="E39" s="112"/>
    </row>
    <row r="40" spans="5:5" s="50" customFormat="1">
      <c r="E40" s="112"/>
    </row>
    <row r="41" spans="5:5" s="50" customFormat="1"/>
    <row r="42" spans="5:5" s="50" customFormat="1"/>
    <row r="43" spans="5:5" s="50" customFormat="1"/>
    <row r="44" spans="5:5" s="50" customFormat="1"/>
    <row r="45" spans="5:5" s="50" customFormat="1"/>
    <row r="46" spans="5:5" s="50" customFormat="1"/>
    <row r="47" spans="5:5" s="50" customFormat="1"/>
    <row r="48" spans="5:5"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row r="164" s="50" customFormat="1"/>
    <row r="165" s="50" customFormat="1"/>
    <row r="166" s="50" customFormat="1"/>
    <row r="167" s="50" customFormat="1"/>
    <row r="168" s="50" customFormat="1"/>
    <row r="169" s="50" customFormat="1"/>
    <row r="170" s="50" customFormat="1"/>
    <row r="171" s="50" customFormat="1"/>
    <row r="172" s="50" customFormat="1"/>
    <row r="173" s="50" customFormat="1"/>
    <row r="174" s="50" customFormat="1"/>
    <row r="175" s="50" customFormat="1"/>
    <row r="176" s="50" customFormat="1"/>
    <row r="177" s="50" customFormat="1"/>
    <row r="178" s="50" customFormat="1"/>
    <row r="179" s="50" customFormat="1"/>
  </sheetData>
  <sheetProtection algorithmName="SHA-512" hashValue="HDr3mJzXAImfqn1E34rji3i3oBkDJDH22Y7BQ6GGghfXoECRMnsNaW21BzOBpI9E6sO1XND38nQnjoDaLsPq3Q==" saltValue="gmsSvN5ly3+s41Y2a0kczA==" spinCount="100000" sheet="1" objects="1" scenarios="1"/>
  <mergeCells count="4">
    <mergeCell ref="A10:E10"/>
    <mergeCell ref="B1:D1"/>
    <mergeCell ref="B2:D2"/>
    <mergeCell ref="B3:D3"/>
  </mergeCells>
  <conditionalFormatting sqref="E30:E40">
    <cfRule type="containsText" dxfId="33" priority="3" operator="containsText" text="WEITER">
      <formula>NOT(ISERROR(SEARCH("WEITER",E30)))</formula>
    </cfRule>
  </conditionalFormatting>
  <dataValidations count="1">
    <dataValidation type="decimal" allowBlank="1" showInputMessage="1" showErrorMessage="1" sqref="C13:E17">
      <formula1>0</formula1>
      <formula2>1</formula2>
    </dataValidation>
  </dataValidations>
  <hyperlinks>
    <hyperlink ref="E29" location="'40'!A1" display="'40'!A1"/>
    <hyperlink ref="C29" location="'0'!A1" display="'0'!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29CD8A01-155B-9C4F-BDD8-F563422F09DA}">
            <xm:f>txt!$B$222</xm:f>
            <x14:dxf>
              <font>
                <u/>
                <color rgb="FF0000FF"/>
              </font>
              <fill>
                <patternFill patternType="solid">
                  <fgColor indexed="64"/>
                  <bgColor rgb="FFFFFF00"/>
                </patternFill>
              </fill>
            </x14:dxf>
          </x14:cfRule>
          <xm:sqref>E29</xm:sqref>
        </x14:conditionalFormatting>
      </x14:conditionalFormattings>
    </ex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tabColor theme="9" tint="0.79998168889431442"/>
    <pageSetUpPr fitToPage="1"/>
  </sheetPr>
  <dimension ref="A1:AO223"/>
  <sheetViews>
    <sheetView workbookViewId="0">
      <selection activeCell="C12" sqref="C12"/>
    </sheetView>
  </sheetViews>
  <sheetFormatPr baseColWidth="10" defaultColWidth="10.6640625" defaultRowHeight="12.75"/>
  <cols>
    <col min="1" max="1" width="50.6640625" style="79" customWidth="1"/>
    <col min="2" max="2" width="2.6640625" style="79" customWidth="1"/>
    <col min="3" max="3" width="32.6640625" style="79" customWidth="1"/>
    <col min="4" max="4" width="2.6640625" style="133" customWidth="1"/>
    <col min="5" max="5" width="32.6640625" style="79" customWidth="1"/>
    <col min="6" max="6" width="5.6640625" style="50" customWidth="1"/>
    <col min="7" max="7" width="60.6640625" style="50" customWidth="1"/>
    <col min="8" max="41" width="10.6640625" style="50"/>
    <col min="42" max="16384" width="10.6640625" style="79"/>
  </cols>
  <sheetData>
    <row r="1" spans="1:7" ht="15" customHeight="1">
      <c r="A1" s="50"/>
      <c r="B1" s="366" t="str">
        <f>txt!B42</f>
        <v>Preiserhebung</v>
      </c>
      <c r="C1" s="366"/>
      <c r="D1" s="366"/>
      <c r="E1" s="51" t="str">
        <f>txt!B175</f>
        <v>Eidg. Departement des Innern</v>
      </c>
    </row>
    <row r="2" spans="1:7" ht="15" customHeight="1">
      <c r="A2" s="50"/>
      <c r="B2" s="366" t="str">
        <f>txt!B43</f>
        <v>Produzentenpreisindex</v>
      </c>
      <c r="C2" s="366"/>
      <c r="D2" s="366"/>
      <c r="E2" s="51" t="str">
        <f>txt!B176</f>
        <v>Bundesamt für Statistik BFS</v>
      </c>
    </row>
    <row r="3" spans="1:7" ht="15" customHeight="1">
      <c r="A3" s="50"/>
      <c r="B3" s="366" t="str">
        <f>txt!B44</f>
        <v>Informatikdienstleistungen</v>
      </c>
      <c r="C3" s="366"/>
      <c r="D3" s="366"/>
      <c r="E3" s="51" t="str">
        <f>txt!B177</f>
        <v>Abt. Wirtschaft, Sektion PREIS</v>
      </c>
    </row>
    <row r="4" spans="1:7" ht="13.5" customHeight="1">
      <c r="A4" s="63"/>
      <c r="B4" s="63"/>
      <c r="C4" s="63"/>
      <c r="D4" s="63"/>
      <c r="E4" s="50"/>
      <c r="F4" s="159"/>
      <c r="G4" s="98"/>
    </row>
    <row r="5" spans="1:7" ht="13.5" customHeight="1">
      <c r="A5" s="63" t="str">
        <f>txt!B46</f>
        <v>PMS-Nr. 0</v>
      </c>
      <c r="B5" s="63"/>
      <c r="C5" s="63"/>
      <c r="D5" s="63"/>
      <c r="E5" s="64" t="str">
        <f>txt!B45</f>
        <v/>
      </c>
      <c r="F5" s="159"/>
      <c r="G5" s="98"/>
    </row>
    <row r="6" spans="1:7" ht="13.5" customHeight="1">
      <c r="A6" s="63"/>
      <c r="B6" s="63"/>
      <c r="C6" s="63"/>
      <c r="D6" s="63"/>
      <c r="E6" s="50"/>
      <c r="F6" s="159"/>
      <c r="G6" s="98"/>
    </row>
    <row r="7" spans="1:7" ht="13.5" customHeight="1">
      <c r="A7" s="63" t="str">
        <f>txt!B47&amp;": "&amp;txt!B52</f>
        <v>Geschäftsfeld: IT-Infrastrukturdienste</v>
      </c>
      <c r="B7" s="63"/>
      <c r="C7" s="63"/>
      <c r="D7" s="63"/>
      <c r="E7" s="83" t="str">
        <f>" "&amp;REPT("|",INT(Steuerung!V39*100))</f>
        <v xml:space="preserve"> </v>
      </c>
      <c r="F7" s="159"/>
      <c r="G7" s="98"/>
    </row>
    <row r="8" spans="1:7" ht="13.5" customHeight="1">
      <c r="A8" s="53"/>
      <c r="B8" s="159"/>
      <c r="C8" s="159"/>
      <c r="D8" s="159"/>
      <c r="E8" s="65" t="str">
        <f>IF(COUNTIF($C$12:$C$16,"")=5,txt!B231,IF(A26=1,"",""))</f>
        <v>Bitte wählen Sie eine häufig angewendete Preisfestsetzungsmethode</v>
      </c>
      <c r="F8" s="159"/>
      <c r="G8" s="98"/>
    </row>
    <row r="9" spans="1:7" ht="13.5" customHeight="1">
      <c r="A9" s="53"/>
      <c r="B9" s="159"/>
      <c r="C9" s="159"/>
      <c r="D9" s="159"/>
      <c r="E9" s="159"/>
      <c r="F9" s="159"/>
      <c r="G9" s="98"/>
    </row>
    <row r="10" spans="1:7" ht="13.5" customHeight="1">
      <c r="A10" s="58" t="str">
        <f>txt!B85</f>
        <v>Wie offerieren Sie normalerweise Ihre Dienstleistungen?</v>
      </c>
      <c r="B10" s="57"/>
      <c r="C10" s="57"/>
      <c r="D10" s="159"/>
      <c r="E10" s="159"/>
      <c r="F10" s="159"/>
      <c r="G10" s="98"/>
    </row>
    <row r="11" spans="1:7" ht="27" customHeight="1">
      <c r="A11" s="60"/>
      <c r="B11" s="60"/>
      <c r="C11" s="59" t="str">
        <f>txt!B86</f>
        <v xml:space="preserve">Häufig angewendete Preisfestsetzungsmethode mit einem "X" kennzeichnen </v>
      </c>
      <c r="D11" s="159"/>
      <c r="E11" s="159"/>
      <c r="F11" s="159"/>
      <c r="G11" s="98"/>
    </row>
    <row r="12" spans="1:7" ht="13.5" customHeight="1">
      <c r="A12" s="60" t="str">
        <f>txt!B92</f>
        <v>Transaktionsbasierte Preise (Preis pro ...) zzgl. ggf. Grundpreis</v>
      </c>
      <c r="B12" s="99"/>
      <c r="C12" s="134"/>
      <c r="D12" s="159"/>
      <c r="E12" s="159"/>
      <c r="F12" s="159"/>
      <c r="G12" s="98"/>
    </row>
    <row r="13" spans="1:7" ht="7.5" customHeight="1">
      <c r="A13" s="60"/>
      <c r="B13" s="99"/>
      <c r="C13" s="101"/>
      <c r="D13" s="159"/>
      <c r="E13" s="159"/>
      <c r="F13" s="159"/>
      <c r="G13" s="98"/>
    </row>
    <row r="14" spans="1:7" ht="13.5" customHeight="1">
      <c r="A14" s="60" t="str">
        <f>txt!B93</f>
        <v>Transaktionsbasierte, aber plafonierte Preise</v>
      </c>
      <c r="B14" s="99"/>
      <c r="C14" s="134"/>
      <c r="D14" s="159"/>
      <c r="E14" s="159"/>
      <c r="F14" s="159"/>
      <c r="G14" s="98"/>
    </row>
    <row r="15" spans="1:7" ht="7.5" customHeight="1">
      <c r="A15" s="60"/>
      <c r="B15" s="99"/>
      <c r="C15" s="101"/>
      <c r="D15" s="159"/>
      <c r="E15" s="159"/>
      <c r="F15" s="159"/>
      <c r="G15" s="98"/>
    </row>
    <row r="16" spans="1:7" ht="13.5" customHeight="1">
      <c r="A16" s="158" t="str">
        <f>txt!B95</f>
        <v>Andere Form der Preisfestsetzung</v>
      </c>
      <c r="B16" s="150"/>
      <c r="C16" s="134"/>
      <c r="D16" s="159"/>
      <c r="E16" s="159"/>
      <c r="F16" s="159"/>
      <c r="G16" s="98"/>
    </row>
    <row r="17" spans="1:7" ht="13.5" customHeight="1">
      <c r="A17" s="50"/>
      <c r="B17" s="50"/>
      <c r="C17" s="80" t="str">
        <f>IF($C16="","",IF(A19="",txt!B84,""))</f>
        <v/>
      </c>
      <c r="D17" s="159"/>
      <c r="E17" s="159"/>
      <c r="F17" s="159"/>
      <c r="G17" s="98"/>
    </row>
    <row r="18" spans="1:7" ht="13.5" customHeight="1">
      <c r="A18" s="104" t="str">
        <f>txt!B105</f>
        <v>Kurzbeschrieb der anderen Form der Preisfestsetzung</v>
      </c>
      <c r="B18" s="50"/>
      <c r="C18" s="50"/>
      <c r="D18" s="159"/>
      <c r="E18" s="159"/>
      <c r="F18" s="159"/>
      <c r="G18" s="98"/>
    </row>
    <row r="19" spans="1:7" ht="54" customHeight="1">
      <c r="A19" s="341"/>
      <c r="B19" s="342"/>
      <c r="C19" s="343"/>
      <c r="D19" s="159"/>
      <c r="E19" s="159"/>
      <c r="F19" s="159"/>
      <c r="G19" s="98"/>
    </row>
    <row r="20" spans="1:7" ht="13.5" customHeight="1">
      <c r="A20" s="50"/>
      <c r="B20" s="50"/>
      <c r="C20" s="50"/>
      <c r="D20" s="159"/>
      <c r="E20" s="159"/>
      <c r="F20" s="159"/>
      <c r="G20" s="98"/>
    </row>
    <row r="21" spans="1:7" ht="13.5" customHeight="1">
      <c r="A21" s="243" t="str">
        <f>txt!B217&amp;":"</f>
        <v>Definition:</v>
      </c>
      <c r="B21" s="50"/>
      <c r="C21" s="50"/>
      <c r="D21" s="159"/>
      <c r="E21" s="159"/>
      <c r="F21" s="159"/>
      <c r="G21" s="98"/>
    </row>
    <row r="22" spans="1:7" ht="7.5" customHeight="1">
      <c r="A22" s="50"/>
      <c r="B22" s="50"/>
      <c r="C22" s="50"/>
      <c r="D22" s="159"/>
      <c r="E22" s="159"/>
      <c r="F22" s="159"/>
      <c r="G22" s="98"/>
    </row>
    <row r="23" spans="1:7" ht="27" customHeight="1">
      <c r="A23" s="232" t="str">
        <f>txt!B103</f>
        <v>Plafonierte Preise: Der Vertrag kennt eine preisliche Obergrenze, auch wenn grundsätzliche nach Volumen abgerechnet wird.</v>
      </c>
      <c r="B23" s="50"/>
      <c r="C23" s="50"/>
      <c r="D23" s="159"/>
      <c r="E23" s="159"/>
      <c r="F23" s="159"/>
      <c r="G23" s="98"/>
    </row>
    <row r="24" spans="1:7" ht="13.5" customHeight="1">
      <c r="A24" s="53"/>
      <c r="B24" s="159"/>
      <c r="C24" s="159"/>
      <c r="D24" s="159"/>
      <c r="E24" s="159"/>
      <c r="F24" s="159"/>
      <c r="G24" s="98"/>
    </row>
    <row r="25" spans="1:7" ht="13.5" customHeight="1">
      <c r="A25" s="50"/>
      <c r="B25" s="50"/>
      <c r="C25" s="50"/>
      <c r="D25" s="50"/>
      <c r="E25" s="50"/>
    </row>
    <row r="26" spans="1:7" ht="13.5" customHeight="1">
      <c r="A26" s="78">
        <f>Steuerung!B39*Steuerung!C39</f>
        <v>0</v>
      </c>
      <c r="B26" s="50"/>
      <c r="C26" s="268" t="str">
        <f>txt!$B$221</f>
        <v>ZURÜCK</v>
      </c>
      <c r="D26" s="50"/>
      <c r="E26" s="269" t="str">
        <f>IF(COUNTIF($C$12:$C$16,"")=5,"",IF(A26=1,txt!B222,""))</f>
        <v/>
      </c>
    </row>
    <row r="27" spans="1:7" ht="13.5" customHeight="1">
      <c r="A27" s="78"/>
      <c r="B27" s="50"/>
      <c r="C27" s="62"/>
      <c r="D27" s="50"/>
      <c r="E27" s="62"/>
    </row>
    <row r="28" spans="1:7" ht="13.5" customHeight="1">
      <c r="A28" s="78">
        <f>Steuerung!B39*Steuerung!C41</f>
        <v>0</v>
      </c>
      <c r="B28" s="50"/>
      <c r="C28" s="50"/>
      <c r="D28" s="50"/>
      <c r="E28" s="269" t="str">
        <f>IF(COUNTIF($C$12:$C$16,"")=5,"",IF(AND(A26=0,A28=1),txt!B222,""))</f>
        <v/>
      </c>
    </row>
    <row r="29" spans="1:7" ht="13.5" customHeight="1">
      <c r="A29" s="78"/>
      <c r="B29" s="50"/>
      <c r="C29" s="50"/>
      <c r="D29" s="50"/>
      <c r="E29" s="62"/>
    </row>
    <row r="30" spans="1:7" ht="13.5" customHeight="1">
      <c r="A30" s="78">
        <f>Steuerung!B43*Steuerung!C43</f>
        <v>0</v>
      </c>
      <c r="B30" s="50"/>
      <c r="C30" s="106"/>
      <c r="D30" s="50"/>
      <c r="E30" s="269" t="str">
        <f>IF(COUNTIF($C$12:$C$16,"")=5,"",IF(AND(A26=0,A28=0,A30=1),txt!B222,""))</f>
        <v/>
      </c>
    </row>
    <row r="31" spans="1:7" ht="13.5" customHeight="1">
      <c r="A31" s="78"/>
      <c r="B31" s="50"/>
      <c r="C31" s="106"/>
      <c r="D31" s="50"/>
      <c r="E31" s="62"/>
    </row>
    <row r="32" spans="1:7" ht="13.5" customHeight="1">
      <c r="A32" s="78">
        <f>Steuerung!B43*Steuerung!C45</f>
        <v>0</v>
      </c>
      <c r="B32" s="50"/>
      <c r="C32" s="106"/>
      <c r="D32" s="50"/>
      <c r="E32" s="269" t="str">
        <f>IF(COUNTIF($C$12:$C$16,"")=5,"",IF(AND(A26=0,A28=0,A30=0,A32=1),txt!B222,""))</f>
        <v/>
      </c>
    </row>
    <row r="33" spans="1:7" ht="13.5" customHeight="1">
      <c r="A33" s="78"/>
      <c r="B33" s="50"/>
      <c r="C33" s="106"/>
      <c r="D33" s="50"/>
      <c r="E33" s="62"/>
    </row>
    <row r="34" spans="1:7" ht="13.5" customHeight="1">
      <c r="A34" s="78">
        <f>Steuerung!B47*Steuerung!C47</f>
        <v>0</v>
      </c>
      <c r="B34" s="50"/>
      <c r="C34" s="50"/>
      <c r="D34" s="50"/>
      <c r="E34" s="269" t="str">
        <f>IF(COUNTIF($C$12:$C$16,"")=5,"",IF(AND(A26=0,A28=0,A30=0,A32=0,A34=1),txt!B222,""))</f>
        <v/>
      </c>
    </row>
    <row r="35" spans="1:7" ht="13.5" customHeight="1">
      <c r="A35" s="78"/>
      <c r="B35" s="50"/>
      <c r="C35" s="50"/>
      <c r="D35" s="50"/>
      <c r="E35" s="62"/>
    </row>
    <row r="36" spans="1:7" ht="13.5" customHeight="1">
      <c r="A36" s="78">
        <f>Steuerung!B47*Steuerung!C49</f>
        <v>0</v>
      </c>
      <c r="B36" s="50"/>
      <c r="C36" s="50"/>
      <c r="D36" s="50"/>
      <c r="E36" s="269" t="str">
        <f>IF(COUNTIF($C$12:$C$16,"")=5,"",IF(AND(A26=0,A28=0,A30=0,A32=0,A34=0,A36=1),txt!B222,""))</f>
        <v/>
      </c>
    </row>
    <row r="37" spans="1:7">
      <c r="A37" s="50"/>
      <c r="B37" s="50"/>
      <c r="C37" s="50"/>
      <c r="D37" s="50"/>
      <c r="E37" s="50"/>
      <c r="G37" s="106"/>
    </row>
    <row r="38" spans="1:7">
      <c r="A38" s="50"/>
      <c r="B38" s="50"/>
      <c r="C38" s="50"/>
      <c r="D38" s="50"/>
      <c r="E38" s="50"/>
    </row>
    <row r="39" spans="1:7">
      <c r="A39" s="50"/>
      <c r="B39" s="50"/>
      <c r="C39" s="50"/>
      <c r="D39" s="50"/>
      <c r="E39" s="50"/>
    </row>
    <row r="40" spans="1:7" ht="12.95" customHeight="1">
      <c r="A40" s="50"/>
      <c r="B40" s="50"/>
      <c r="C40" s="50"/>
      <c r="D40" s="50"/>
      <c r="E40" s="50"/>
    </row>
    <row r="41" spans="1:7">
      <c r="A41" s="50"/>
      <c r="B41" s="50"/>
      <c r="C41" s="50"/>
      <c r="D41" s="50"/>
      <c r="E41" s="50"/>
    </row>
    <row r="42" spans="1:7">
      <c r="A42" s="50"/>
      <c r="B42" s="50"/>
      <c r="C42" s="50"/>
      <c r="D42" s="50"/>
      <c r="E42" s="50"/>
    </row>
    <row r="43" spans="1:7">
      <c r="A43" s="50"/>
      <c r="B43" s="50"/>
      <c r="C43" s="50"/>
      <c r="D43" s="50"/>
      <c r="E43" s="50"/>
    </row>
    <row r="44" spans="1:7">
      <c r="A44" s="50"/>
      <c r="B44" s="50"/>
      <c r="C44" s="50"/>
      <c r="D44" s="50"/>
      <c r="E44" s="50"/>
    </row>
    <row r="45" spans="1:7">
      <c r="A45" s="50"/>
      <c r="B45" s="50"/>
      <c r="C45" s="50"/>
      <c r="D45" s="50"/>
      <c r="E45" s="50"/>
    </row>
    <row r="46" spans="1:7">
      <c r="A46" s="50"/>
      <c r="B46" s="50"/>
      <c r="C46" s="50"/>
      <c r="D46" s="50"/>
      <c r="E46" s="50"/>
    </row>
    <row r="47" spans="1:7">
      <c r="A47" s="50"/>
      <c r="B47" s="50"/>
      <c r="C47" s="50"/>
      <c r="D47" s="50"/>
      <c r="E47" s="50"/>
    </row>
    <row r="48" spans="1:7">
      <c r="A48" s="50"/>
      <c r="B48" s="50"/>
      <c r="C48" s="50"/>
      <c r="D48" s="50"/>
      <c r="E48" s="50"/>
    </row>
    <row r="49" spans="1:5">
      <c r="A49" s="50"/>
      <c r="B49" s="50"/>
      <c r="C49" s="50"/>
      <c r="D49" s="50"/>
      <c r="E49" s="50"/>
    </row>
    <row r="50" spans="1:5">
      <c r="A50" s="50"/>
      <c r="B50" s="50"/>
      <c r="C50" s="50"/>
      <c r="D50" s="50"/>
      <c r="E50" s="50"/>
    </row>
    <row r="51" spans="1:5">
      <c r="A51" s="50"/>
      <c r="B51" s="50"/>
      <c r="C51" s="50"/>
      <c r="D51" s="50"/>
      <c r="E51" s="50"/>
    </row>
    <row r="52" spans="1:5">
      <c r="A52" s="50"/>
      <c r="B52" s="50"/>
      <c r="C52" s="50"/>
      <c r="D52" s="50"/>
      <c r="E52" s="50"/>
    </row>
    <row r="53" spans="1:5">
      <c r="A53" s="50"/>
      <c r="B53" s="50"/>
      <c r="C53" s="50"/>
      <c r="D53" s="50"/>
      <c r="E53" s="50"/>
    </row>
    <row r="54" spans="1:5">
      <c r="A54" s="50"/>
      <c r="B54" s="50"/>
      <c r="C54" s="50"/>
      <c r="D54" s="50"/>
      <c r="E54" s="50"/>
    </row>
    <row r="55" spans="1:5">
      <c r="A55" s="50"/>
      <c r="B55" s="50"/>
      <c r="C55" s="50"/>
      <c r="D55" s="50"/>
      <c r="E55" s="50"/>
    </row>
    <row r="56" spans="1:5">
      <c r="A56" s="50"/>
      <c r="B56" s="50"/>
      <c r="C56" s="50"/>
      <c r="D56" s="50"/>
      <c r="E56" s="50"/>
    </row>
    <row r="57" spans="1:5">
      <c r="A57" s="50"/>
      <c r="B57" s="50"/>
      <c r="C57" s="50"/>
      <c r="D57" s="50"/>
      <c r="E57" s="50"/>
    </row>
    <row r="58" spans="1:5">
      <c r="A58" s="50"/>
      <c r="B58" s="50"/>
      <c r="C58" s="50"/>
      <c r="D58" s="50"/>
      <c r="E58" s="50"/>
    </row>
    <row r="59" spans="1:5">
      <c r="A59" s="50"/>
      <c r="B59" s="50"/>
      <c r="C59" s="50"/>
      <c r="D59" s="50"/>
      <c r="E59" s="50"/>
    </row>
    <row r="60" spans="1:5">
      <c r="A60" s="50"/>
      <c r="B60" s="50"/>
      <c r="C60" s="50"/>
      <c r="D60" s="50"/>
      <c r="E60" s="50"/>
    </row>
    <row r="61" spans="1:5">
      <c r="A61" s="50"/>
      <c r="B61" s="50"/>
      <c r="C61" s="50"/>
      <c r="D61" s="50"/>
      <c r="E61" s="50"/>
    </row>
    <row r="62" spans="1:5">
      <c r="A62" s="50"/>
      <c r="B62" s="50"/>
      <c r="C62" s="50"/>
      <c r="D62" s="50"/>
      <c r="E62" s="50"/>
    </row>
    <row r="63" spans="1:5">
      <c r="A63" s="50"/>
      <c r="B63" s="50"/>
      <c r="C63" s="50"/>
      <c r="D63" s="50"/>
      <c r="E63" s="50"/>
    </row>
    <row r="64" spans="1:5">
      <c r="A64" s="50"/>
      <c r="B64" s="50"/>
      <c r="C64" s="50"/>
      <c r="D64" s="50"/>
      <c r="E64" s="50"/>
    </row>
    <row r="65" spans="1:5">
      <c r="A65" s="50"/>
      <c r="B65" s="50"/>
      <c r="C65" s="50"/>
      <c r="D65" s="50"/>
      <c r="E65" s="50"/>
    </row>
    <row r="66" spans="1:5">
      <c r="A66" s="50"/>
      <c r="B66" s="50"/>
      <c r="C66" s="50"/>
      <c r="D66" s="50"/>
      <c r="E66" s="50"/>
    </row>
    <row r="67" spans="1:5">
      <c r="A67" s="50"/>
      <c r="B67" s="50"/>
      <c r="C67" s="50"/>
      <c r="D67" s="50"/>
      <c r="E67" s="50"/>
    </row>
    <row r="68" spans="1:5">
      <c r="A68" s="50"/>
      <c r="B68" s="50"/>
      <c r="C68" s="50"/>
      <c r="D68" s="50"/>
      <c r="E68" s="50"/>
    </row>
    <row r="69" spans="1:5">
      <c r="A69" s="50"/>
      <c r="B69" s="50"/>
      <c r="C69" s="50"/>
      <c r="D69" s="50"/>
      <c r="E69" s="50"/>
    </row>
    <row r="70" spans="1:5">
      <c r="A70" s="50"/>
      <c r="B70" s="50"/>
      <c r="C70" s="50"/>
      <c r="D70" s="50"/>
      <c r="E70" s="50"/>
    </row>
    <row r="71" spans="1:5">
      <c r="A71" s="50"/>
      <c r="B71" s="50"/>
      <c r="C71" s="50"/>
      <c r="D71" s="50"/>
      <c r="E71" s="50"/>
    </row>
    <row r="72" spans="1:5">
      <c r="A72" s="50"/>
      <c r="B72" s="50"/>
      <c r="C72" s="50"/>
      <c r="D72" s="50"/>
      <c r="E72" s="50"/>
    </row>
    <row r="73" spans="1:5">
      <c r="A73" s="50"/>
      <c r="B73" s="50"/>
      <c r="C73" s="50"/>
      <c r="D73" s="50"/>
      <c r="E73" s="50"/>
    </row>
    <row r="74" spans="1:5">
      <c r="A74" s="50"/>
      <c r="B74" s="50"/>
      <c r="C74" s="50"/>
      <c r="D74" s="50"/>
      <c r="E74" s="50"/>
    </row>
    <row r="75" spans="1:5">
      <c r="A75" s="50"/>
      <c r="B75" s="50"/>
      <c r="C75" s="50"/>
      <c r="D75" s="50"/>
      <c r="E75" s="50"/>
    </row>
    <row r="76" spans="1:5">
      <c r="A76" s="50"/>
      <c r="B76" s="50"/>
      <c r="C76" s="50"/>
      <c r="D76" s="50"/>
      <c r="E76" s="50"/>
    </row>
    <row r="77" spans="1:5">
      <c r="A77" s="50"/>
      <c r="B77" s="50"/>
      <c r="C77" s="50"/>
      <c r="D77" s="50"/>
      <c r="E77" s="50"/>
    </row>
    <row r="78" spans="1:5">
      <c r="A78" s="50"/>
      <c r="B78" s="50"/>
      <c r="C78" s="50"/>
      <c r="D78" s="50"/>
      <c r="E78" s="50"/>
    </row>
    <row r="79" spans="1:5">
      <c r="A79" s="50"/>
      <c r="B79" s="50"/>
      <c r="C79" s="50"/>
      <c r="D79" s="50"/>
      <c r="E79" s="50"/>
    </row>
    <row r="80" spans="1:5">
      <c r="A80" s="50"/>
      <c r="B80" s="50"/>
      <c r="C80" s="50"/>
      <c r="D80" s="50"/>
      <c r="E80" s="50"/>
    </row>
    <row r="81" spans="1:5">
      <c r="A81" s="50"/>
      <c r="B81" s="50"/>
      <c r="C81" s="50"/>
      <c r="D81" s="50"/>
      <c r="E81" s="50"/>
    </row>
    <row r="82" spans="1:5">
      <c r="A82" s="50"/>
      <c r="B82" s="50"/>
      <c r="C82" s="50"/>
      <c r="D82" s="50"/>
      <c r="E82" s="50"/>
    </row>
    <row r="83" spans="1:5">
      <c r="A83" s="50"/>
      <c r="B83" s="50"/>
      <c r="C83" s="50"/>
      <c r="D83" s="50"/>
      <c r="E83" s="50"/>
    </row>
    <row r="84" spans="1:5">
      <c r="A84" s="50"/>
      <c r="B84" s="50"/>
      <c r="C84" s="50"/>
      <c r="D84" s="50"/>
      <c r="E84" s="50"/>
    </row>
    <row r="85" spans="1:5">
      <c r="A85" s="50"/>
      <c r="B85" s="50"/>
      <c r="C85" s="50"/>
      <c r="D85" s="50"/>
      <c r="E85" s="50"/>
    </row>
    <row r="86" spans="1:5">
      <c r="A86" s="50"/>
      <c r="B86" s="50"/>
      <c r="C86" s="50"/>
      <c r="D86" s="50"/>
      <c r="E86" s="50"/>
    </row>
    <row r="87" spans="1:5">
      <c r="A87" s="50"/>
      <c r="B87" s="50"/>
      <c r="C87" s="50"/>
      <c r="D87" s="50"/>
      <c r="E87" s="50"/>
    </row>
    <row r="88" spans="1:5">
      <c r="A88" s="50"/>
      <c r="B88" s="50"/>
      <c r="C88" s="50"/>
      <c r="D88" s="50"/>
      <c r="E88" s="50"/>
    </row>
    <row r="89" spans="1:5">
      <c r="A89" s="50"/>
      <c r="B89" s="50"/>
      <c r="C89" s="50"/>
      <c r="D89" s="50"/>
      <c r="E89" s="50"/>
    </row>
    <row r="90" spans="1:5">
      <c r="A90" s="50"/>
      <c r="B90" s="50"/>
      <c r="C90" s="50"/>
      <c r="D90" s="50"/>
      <c r="E90" s="50"/>
    </row>
    <row r="91" spans="1:5">
      <c r="A91" s="50"/>
      <c r="B91" s="50"/>
      <c r="C91" s="50"/>
      <c r="D91" s="50"/>
      <c r="E91" s="50"/>
    </row>
    <row r="92" spans="1:5">
      <c r="A92" s="50"/>
      <c r="B92" s="50"/>
      <c r="C92" s="50"/>
      <c r="D92" s="50"/>
      <c r="E92" s="50"/>
    </row>
    <row r="93" spans="1:5">
      <c r="A93" s="50"/>
      <c r="B93" s="50"/>
      <c r="C93" s="50"/>
      <c r="D93" s="50"/>
      <c r="E93" s="50"/>
    </row>
    <row r="94" spans="1:5">
      <c r="A94" s="50"/>
      <c r="B94" s="50"/>
      <c r="C94" s="50"/>
      <c r="D94" s="50"/>
      <c r="E94" s="50"/>
    </row>
    <row r="95" spans="1:5">
      <c r="A95" s="50"/>
      <c r="B95" s="50"/>
      <c r="C95" s="50"/>
      <c r="D95" s="50"/>
      <c r="E95" s="50"/>
    </row>
    <row r="96" spans="1:5">
      <c r="A96" s="50"/>
      <c r="B96" s="50"/>
      <c r="C96" s="50"/>
      <c r="D96" s="50"/>
      <c r="E96" s="50"/>
    </row>
    <row r="97" spans="1:5">
      <c r="A97" s="50"/>
      <c r="B97" s="50"/>
      <c r="C97" s="50"/>
      <c r="D97" s="50"/>
      <c r="E97" s="50"/>
    </row>
    <row r="98" spans="1:5">
      <c r="A98" s="50"/>
      <c r="B98" s="50"/>
      <c r="C98" s="50"/>
      <c r="D98" s="50"/>
      <c r="E98" s="50"/>
    </row>
    <row r="99" spans="1:5">
      <c r="A99" s="50"/>
      <c r="B99" s="50"/>
      <c r="C99" s="50"/>
      <c r="D99" s="50"/>
      <c r="E99" s="50"/>
    </row>
    <row r="100" spans="1:5">
      <c r="A100" s="50"/>
      <c r="B100" s="50"/>
      <c r="C100" s="50"/>
      <c r="D100" s="50"/>
      <c r="E100" s="50"/>
    </row>
    <row r="101" spans="1:5">
      <c r="A101" s="50"/>
      <c r="B101" s="50"/>
      <c r="C101" s="50"/>
      <c r="D101" s="50"/>
      <c r="E101" s="50"/>
    </row>
    <row r="102" spans="1:5">
      <c r="A102" s="50"/>
      <c r="B102" s="50"/>
      <c r="C102" s="50"/>
      <c r="D102" s="50"/>
      <c r="E102" s="50"/>
    </row>
    <row r="103" spans="1:5">
      <c r="A103" s="50"/>
      <c r="B103" s="50"/>
      <c r="C103" s="50"/>
      <c r="D103" s="50"/>
      <c r="E103" s="50"/>
    </row>
    <row r="104" spans="1:5">
      <c r="A104" s="50"/>
      <c r="B104" s="50"/>
      <c r="C104" s="50"/>
      <c r="D104" s="50"/>
      <c r="E104" s="50"/>
    </row>
    <row r="105" spans="1:5">
      <c r="A105" s="50"/>
      <c r="B105" s="50"/>
      <c r="C105" s="50"/>
      <c r="D105" s="50"/>
      <c r="E105" s="50"/>
    </row>
    <row r="106" spans="1:5">
      <c r="A106" s="50"/>
      <c r="B106" s="50"/>
      <c r="C106" s="50"/>
      <c r="D106" s="50"/>
      <c r="E106" s="50"/>
    </row>
    <row r="107" spans="1:5">
      <c r="A107" s="50"/>
      <c r="B107" s="50"/>
      <c r="C107" s="50"/>
      <c r="D107" s="50"/>
      <c r="E107" s="50"/>
    </row>
    <row r="108" spans="1:5">
      <c r="A108" s="50"/>
      <c r="B108" s="50"/>
      <c r="C108" s="50"/>
      <c r="D108" s="50"/>
      <c r="E108" s="50"/>
    </row>
    <row r="109" spans="1:5">
      <c r="A109" s="50"/>
      <c r="B109" s="50"/>
      <c r="C109" s="50"/>
      <c r="D109" s="50"/>
      <c r="E109" s="50"/>
    </row>
    <row r="110" spans="1:5">
      <c r="A110" s="50"/>
      <c r="B110" s="50"/>
      <c r="C110" s="50"/>
      <c r="D110" s="50"/>
      <c r="E110" s="50"/>
    </row>
    <row r="111" spans="1:5">
      <c r="A111" s="50"/>
      <c r="B111" s="50"/>
      <c r="C111" s="50"/>
      <c r="D111" s="50"/>
      <c r="E111" s="50"/>
    </row>
    <row r="112" spans="1:5">
      <c r="A112" s="50"/>
      <c r="B112" s="50"/>
      <c r="C112" s="50"/>
      <c r="D112" s="50"/>
      <c r="E112" s="50"/>
    </row>
    <row r="113" spans="1:5">
      <c r="A113" s="50"/>
      <c r="B113" s="50"/>
      <c r="C113" s="50"/>
      <c r="D113" s="50"/>
      <c r="E113" s="50"/>
    </row>
    <row r="114" spans="1:5">
      <c r="A114" s="50"/>
      <c r="B114" s="50"/>
      <c r="C114" s="50"/>
      <c r="D114" s="50"/>
      <c r="E114" s="50"/>
    </row>
    <row r="115" spans="1:5">
      <c r="A115" s="50"/>
      <c r="B115" s="50"/>
      <c r="C115" s="50"/>
      <c r="D115" s="50"/>
      <c r="E115" s="50"/>
    </row>
    <row r="116" spans="1:5">
      <c r="A116" s="50"/>
      <c r="B116" s="50"/>
      <c r="C116" s="50"/>
      <c r="D116" s="50"/>
      <c r="E116" s="50"/>
    </row>
    <row r="117" spans="1:5">
      <c r="A117" s="50"/>
      <c r="B117" s="50"/>
      <c r="C117" s="50"/>
      <c r="D117" s="50"/>
      <c r="E117" s="50"/>
    </row>
    <row r="118" spans="1:5">
      <c r="A118" s="50"/>
      <c r="B118" s="50"/>
      <c r="C118" s="50"/>
      <c r="D118" s="50"/>
      <c r="E118" s="50"/>
    </row>
    <row r="119" spans="1:5">
      <c r="A119" s="50"/>
      <c r="B119" s="50"/>
      <c r="C119" s="50"/>
      <c r="D119" s="50"/>
      <c r="E119" s="50"/>
    </row>
    <row r="120" spans="1:5">
      <c r="A120" s="50"/>
      <c r="B120" s="50"/>
      <c r="C120" s="50"/>
      <c r="D120" s="50"/>
      <c r="E120" s="50"/>
    </row>
    <row r="121" spans="1:5">
      <c r="A121" s="50"/>
      <c r="B121" s="50"/>
      <c r="C121" s="50"/>
      <c r="D121" s="50"/>
      <c r="E121" s="50"/>
    </row>
    <row r="122" spans="1:5">
      <c r="A122" s="50"/>
      <c r="B122" s="50"/>
      <c r="C122" s="50"/>
      <c r="D122" s="50"/>
      <c r="E122" s="50"/>
    </row>
    <row r="123" spans="1:5">
      <c r="A123" s="50"/>
      <c r="B123" s="50"/>
      <c r="C123" s="50"/>
      <c r="D123" s="50"/>
      <c r="E123" s="50"/>
    </row>
    <row r="124" spans="1:5">
      <c r="A124" s="50"/>
      <c r="B124" s="50"/>
      <c r="C124" s="50"/>
      <c r="D124" s="50"/>
      <c r="E124" s="50"/>
    </row>
    <row r="125" spans="1:5">
      <c r="A125" s="50"/>
      <c r="B125" s="50"/>
      <c r="C125" s="50"/>
      <c r="D125" s="50"/>
      <c r="E125" s="50"/>
    </row>
    <row r="126" spans="1:5">
      <c r="A126" s="50"/>
      <c r="B126" s="50"/>
      <c r="C126" s="50"/>
      <c r="D126" s="50"/>
      <c r="E126" s="50"/>
    </row>
    <row r="127" spans="1:5">
      <c r="A127" s="50"/>
      <c r="B127" s="50"/>
      <c r="C127" s="50"/>
      <c r="D127" s="50"/>
      <c r="E127" s="50"/>
    </row>
    <row r="128" spans="1:5">
      <c r="A128" s="50"/>
      <c r="B128" s="50"/>
      <c r="C128" s="50"/>
      <c r="D128" s="50"/>
      <c r="E128" s="50"/>
    </row>
    <row r="129" spans="1:5">
      <c r="A129" s="50"/>
      <c r="B129" s="50"/>
      <c r="C129" s="50"/>
      <c r="D129" s="50"/>
      <c r="E129" s="50"/>
    </row>
    <row r="130" spans="1:5">
      <c r="A130" s="50"/>
      <c r="B130" s="50"/>
      <c r="C130" s="50"/>
      <c r="D130" s="50"/>
      <c r="E130" s="50"/>
    </row>
    <row r="131" spans="1:5">
      <c r="A131" s="50"/>
      <c r="B131" s="50"/>
      <c r="C131" s="50"/>
      <c r="D131" s="50"/>
      <c r="E131" s="50"/>
    </row>
    <row r="132" spans="1:5">
      <c r="A132" s="50"/>
      <c r="B132" s="50"/>
      <c r="C132" s="50"/>
      <c r="D132" s="50"/>
      <c r="E132" s="50"/>
    </row>
    <row r="133" spans="1:5">
      <c r="A133" s="50"/>
      <c r="B133" s="50"/>
      <c r="C133" s="50"/>
      <c r="D133" s="50"/>
      <c r="E133" s="50"/>
    </row>
    <row r="134" spans="1:5">
      <c r="A134" s="50"/>
      <c r="B134" s="50"/>
      <c r="C134" s="50"/>
      <c r="D134" s="50"/>
      <c r="E134" s="50"/>
    </row>
    <row r="135" spans="1:5">
      <c r="A135" s="50"/>
      <c r="B135" s="50"/>
      <c r="C135" s="50"/>
      <c r="D135" s="50"/>
      <c r="E135" s="50"/>
    </row>
    <row r="136" spans="1:5">
      <c r="A136" s="50"/>
      <c r="B136" s="50"/>
      <c r="C136" s="50"/>
      <c r="D136" s="50"/>
      <c r="E136" s="50"/>
    </row>
    <row r="137" spans="1:5">
      <c r="A137" s="50"/>
      <c r="B137" s="50"/>
      <c r="C137" s="50"/>
      <c r="D137" s="50"/>
      <c r="E137" s="50"/>
    </row>
    <row r="138" spans="1:5">
      <c r="A138" s="50"/>
      <c r="B138" s="50"/>
      <c r="C138" s="50"/>
      <c r="D138" s="50"/>
      <c r="E138" s="50"/>
    </row>
    <row r="139" spans="1:5">
      <c r="A139" s="50"/>
      <c r="B139" s="50"/>
      <c r="C139" s="50"/>
      <c r="D139" s="50"/>
      <c r="E139" s="50"/>
    </row>
    <row r="140" spans="1:5">
      <c r="A140" s="50"/>
      <c r="B140" s="50"/>
      <c r="C140" s="50"/>
      <c r="D140" s="50"/>
      <c r="E140" s="50"/>
    </row>
    <row r="141" spans="1:5">
      <c r="A141" s="50"/>
      <c r="B141" s="50"/>
      <c r="C141" s="50"/>
      <c r="D141" s="50"/>
      <c r="E141" s="50"/>
    </row>
    <row r="142" spans="1:5">
      <c r="A142" s="50"/>
      <c r="B142" s="50"/>
      <c r="C142" s="50"/>
      <c r="D142" s="50"/>
      <c r="E142" s="50"/>
    </row>
    <row r="143" spans="1:5">
      <c r="A143" s="50"/>
      <c r="B143" s="50"/>
      <c r="C143" s="50"/>
      <c r="D143" s="50"/>
      <c r="E143" s="50"/>
    </row>
    <row r="144" spans="1:5">
      <c r="A144" s="50"/>
      <c r="B144" s="50"/>
      <c r="C144" s="50"/>
      <c r="D144" s="50"/>
      <c r="E144" s="50"/>
    </row>
    <row r="145" spans="1:5">
      <c r="A145" s="50"/>
      <c r="B145" s="50"/>
      <c r="C145" s="50"/>
      <c r="D145" s="50"/>
      <c r="E145" s="50"/>
    </row>
    <row r="146" spans="1:5">
      <c r="A146" s="50"/>
      <c r="B146" s="50"/>
      <c r="C146" s="50"/>
      <c r="D146" s="50"/>
      <c r="E146" s="50"/>
    </row>
    <row r="147" spans="1:5">
      <c r="A147" s="50"/>
      <c r="B147" s="50"/>
      <c r="C147" s="50"/>
      <c r="D147" s="50"/>
      <c r="E147" s="50"/>
    </row>
    <row r="148" spans="1:5">
      <c r="A148" s="50"/>
      <c r="B148" s="50"/>
      <c r="C148" s="50"/>
      <c r="D148" s="50"/>
      <c r="E148" s="50"/>
    </row>
    <row r="149" spans="1:5">
      <c r="A149" s="50"/>
      <c r="B149" s="50"/>
      <c r="C149" s="50"/>
      <c r="D149" s="50"/>
      <c r="E149" s="50"/>
    </row>
    <row r="150" spans="1:5">
      <c r="A150" s="50"/>
      <c r="B150" s="50"/>
      <c r="C150" s="50"/>
      <c r="D150" s="50"/>
      <c r="E150" s="50"/>
    </row>
    <row r="151" spans="1:5">
      <c r="A151" s="50"/>
      <c r="B151" s="50"/>
      <c r="C151" s="50"/>
      <c r="D151" s="50"/>
      <c r="E151" s="50"/>
    </row>
    <row r="152" spans="1:5">
      <c r="A152" s="50"/>
      <c r="B152" s="50"/>
      <c r="C152" s="50"/>
      <c r="D152" s="50"/>
      <c r="E152" s="50"/>
    </row>
    <row r="153" spans="1:5">
      <c r="A153" s="50"/>
      <c r="B153" s="50"/>
      <c r="C153" s="50"/>
      <c r="D153" s="50"/>
      <c r="E153" s="50"/>
    </row>
    <row r="154" spans="1:5">
      <c r="A154" s="50"/>
      <c r="B154" s="50"/>
      <c r="C154" s="50"/>
      <c r="D154" s="50"/>
      <c r="E154" s="50"/>
    </row>
    <row r="155" spans="1:5">
      <c r="A155" s="50"/>
      <c r="B155" s="50"/>
      <c r="C155" s="50"/>
      <c r="D155" s="50"/>
      <c r="E155" s="50"/>
    </row>
    <row r="156" spans="1:5">
      <c r="A156" s="50"/>
      <c r="B156" s="50"/>
      <c r="C156" s="50"/>
      <c r="D156" s="50"/>
      <c r="E156" s="50"/>
    </row>
    <row r="157" spans="1:5">
      <c r="A157" s="50"/>
      <c r="B157" s="50"/>
      <c r="C157" s="50"/>
      <c r="D157" s="50"/>
      <c r="E157" s="50"/>
    </row>
    <row r="158" spans="1:5">
      <c r="A158" s="50"/>
      <c r="B158" s="50"/>
      <c r="C158" s="50"/>
      <c r="D158" s="50"/>
      <c r="E158" s="50"/>
    </row>
    <row r="159" spans="1:5">
      <c r="A159" s="50"/>
      <c r="B159" s="50"/>
      <c r="C159" s="50"/>
      <c r="D159" s="50"/>
      <c r="E159" s="50"/>
    </row>
    <row r="160" spans="1:5">
      <c r="A160" s="50"/>
      <c r="B160" s="50"/>
      <c r="C160" s="50"/>
      <c r="D160" s="50"/>
      <c r="E160" s="50"/>
    </row>
    <row r="161" spans="1:5">
      <c r="A161" s="50"/>
      <c r="B161" s="50"/>
      <c r="C161" s="50"/>
      <c r="D161" s="50"/>
      <c r="E161" s="50"/>
    </row>
    <row r="162" spans="1:5">
      <c r="A162" s="50"/>
      <c r="B162" s="50"/>
      <c r="C162" s="50"/>
      <c r="D162" s="50"/>
      <c r="E162" s="50"/>
    </row>
    <row r="163" spans="1:5">
      <c r="A163" s="50"/>
      <c r="B163" s="50"/>
      <c r="C163" s="50"/>
      <c r="D163" s="50"/>
      <c r="E163" s="50"/>
    </row>
    <row r="164" spans="1:5">
      <c r="A164" s="50"/>
      <c r="B164" s="50"/>
      <c r="C164" s="50"/>
      <c r="D164" s="50"/>
      <c r="E164" s="50"/>
    </row>
    <row r="165" spans="1:5">
      <c r="A165" s="50"/>
      <c r="B165" s="50"/>
      <c r="C165" s="50"/>
      <c r="D165" s="50"/>
      <c r="E165" s="50"/>
    </row>
    <row r="166" spans="1:5">
      <c r="A166" s="50"/>
      <c r="B166" s="50"/>
      <c r="C166" s="50"/>
      <c r="D166" s="50"/>
      <c r="E166" s="50"/>
    </row>
    <row r="167" spans="1:5">
      <c r="A167" s="50"/>
      <c r="B167" s="50"/>
      <c r="C167" s="50"/>
      <c r="D167" s="50"/>
      <c r="E167" s="50"/>
    </row>
    <row r="168" spans="1:5">
      <c r="A168" s="50"/>
      <c r="B168" s="50"/>
      <c r="C168" s="50"/>
      <c r="D168" s="50"/>
      <c r="E168" s="50"/>
    </row>
    <row r="169" spans="1:5">
      <c r="A169" s="50"/>
      <c r="B169" s="50"/>
      <c r="C169" s="50"/>
      <c r="D169" s="50"/>
      <c r="E169" s="50"/>
    </row>
    <row r="170" spans="1:5">
      <c r="A170" s="50"/>
      <c r="B170" s="50"/>
      <c r="C170" s="50"/>
      <c r="D170" s="50"/>
      <c r="E170" s="50"/>
    </row>
    <row r="171" spans="1:5">
      <c r="A171" s="50"/>
      <c r="B171" s="50"/>
      <c r="C171" s="50"/>
      <c r="D171" s="50"/>
      <c r="E171" s="50"/>
    </row>
    <row r="172" spans="1:5">
      <c r="A172" s="50"/>
      <c r="B172" s="50"/>
      <c r="C172" s="50"/>
      <c r="D172" s="50"/>
      <c r="E172" s="50"/>
    </row>
    <row r="173" spans="1:5">
      <c r="A173" s="50"/>
      <c r="B173" s="50"/>
      <c r="C173" s="50"/>
    </row>
    <row r="174" spans="1:5">
      <c r="A174" s="50"/>
      <c r="B174" s="50"/>
      <c r="C174" s="50"/>
    </row>
    <row r="175" spans="1:5">
      <c r="A175" s="50"/>
      <c r="B175" s="50"/>
      <c r="C175" s="50"/>
    </row>
    <row r="176" spans="1:5">
      <c r="A176" s="50"/>
      <c r="B176" s="50"/>
      <c r="C176" s="50"/>
    </row>
    <row r="177" spans="1:3">
      <c r="A177" s="50"/>
      <c r="B177" s="50"/>
      <c r="C177" s="50"/>
    </row>
    <row r="178" spans="1:3">
      <c r="A178" s="50"/>
      <c r="B178" s="50"/>
      <c r="C178" s="50"/>
    </row>
    <row r="179" spans="1:3">
      <c r="A179" s="50"/>
      <c r="B179" s="50"/>
      <c r="C179" s="50"/>
    </row>
    <row r="180" spans="1:3">
      <c r="A180" s="50"/>
      <c r="B180" s="50"/>
      <c r="C180" s="50"/>
    </row>
    <row r="181" spans="1:3">
      <c r="A181" s="50"/>
      <c r="B181" s="50"/>
      <c r="C181" s="50"/>
    </row>
    <row r="182" spans="1:3">
      <c r="A182" s="50"/>
      <c r="B182" s="50"/>
      <c r="C182" s="50"/>
    </row>
    <row r="183" spans="1:3">
      <c r="A183" s="50"/>
      <c r="B183" s="50"/>
      <c r="C183" s="50"/>
    </row>
    <row r="184" spans="1:3">
      <c r="A184" s="50"/>
      <c r="B184" s="50"/>
      <c r="C184" s="50"/>
    </row>
    <row r="185" spans="1:3">
      <c r="A185" s="50"/>
      <c r="B185" s="50"/>
      <c r="C185" s="50"/>
    </row>
    <row r="186" spans="1:3">
      <c r="A186" s="50"/>
      <c r="B186" s="50"/>
      <c r="C186" s="50"/>
    </row>
    <row r="187" spans="1:3">
      <c r="A187" s="50"/>
      <c r="B187" s="50"/>
      <c r="C187" s="50"/>
    </row>
    <row r="188" spans="1:3">
      <c r="A188" s="50"/>
      <c r="B188" s="50"/>
      <c r="C188" s="50"/>
    </row>
    <row r="189" spans="1:3">
      <c r="A189" s="50"/>
      <c r="B189" s="50"/>
      <c r="C189" s="50"/>
    </row>
    <row r="190" spans="1:3">
      <c r="A190" s="50"/>
      <c r="B190" s="50"/>
      <c r="C190" s="50"/>
    </row>
    <row r="191" spans="1:3">
      <c r="A191" s="50"/>
      <c r="B191" s="50"/>
      <c r="C191" s="50"/>
    </row>
    <row r="192" spans="1:3">
      <c r="A192" s="50"/>
      <c r="B192" s="50"/>
      <c r="C192" s="50"/>
    </row>
    <row r="193" spans="1:3">
      <c r="A193" s="50"/>
      <c r="B193" s="50"/>
      <c r="C193" s="50"/>
    </row>
    <row r="194" spans="1:3">
      <c r="A194" s="50"/>
      <c r="B194" s="50"/>
      <c r="C194" s="50"/>
    </row>
    <row r="195" spans="1:3">
      <c r="A195" s="50"/>
      <c r="B195" s="50"/>
      <c r="C195" s="50"/>
    </row>
    <row r="196" spans="1:3">
      <c r="A196" s="50"/>
      <c r="B196" s="50"/>
      <c r="C196" s="50"/>
    </row>
    <row r="197" spans="1:3">
      <c r="A197" s="50"/>
      <c r="B197" s="50"/>
      <c r="C197" s="50"/>
    </row>
    <row r="198" spans="1:3">
      <c r="A198" s="50"/>
      <c r="B198" s="50"/>
      <c r="C198" s="50"/>
    </row>
    <row r="199" spans="1:3">
      <c r="A199" s="50"/>
      <c r="B199" s="50"/>
      <c r="C199" s="50"/>
    </row>
    <row r="200" spans="1:3">
      <c r="A200" s="50"/>
      <c r="B200" s="50"/>
      <c r="C200" s="50"/>
    </row>
    <row r="201" spans="1:3">
      <c r="A201" s="50"/>
      <c r="B201" s="50"/>
      <c r="C201" s="50"/>
    </row>
    <row r="202" spans="1:3">
      <c r="A202" s="50"/>
      <c r="B202" s="50"/>
      <c r="C202" s="50"/>
    </row>
    <row r="203" spans="1:3">
      <c r="A203" s="50"/>
      <c r="B203" s="50"/>
      <c r="C203" s="50"/>
    </row>
    <row r="204" spans="1:3">
      <c r="A204" s="50"/>
      <c r="B204" s="50"/>
      <c r="C204" s="50"/>
    </row>
    <row r="205" spans="1:3">
      <c r="A205" s="50"/>
      <c r="B205" s="50"/>
      <c r="C205" s="50"/>
    </row>
    <row r="206" spans="1:3">
      <c r="A206" s="50"/>
      <c r="B206" s="50"/>
      <c r="C206" s="50"/>
    </row>
    <row r="207" spans="1:3">
      <c r="A207" s="50"/>
      <c r="B207" s="50"/>
      <c r="C207" s="50"/>
    </row>
    <row r="208" spans="1:3">
      <c r="A208" s="50"/>
      <c r="B208" s="50"/>
      <c r="C208" s="50"/>
    </row>
    <row r="209" spans="1:3">
      <c r="A209" s="50"/>
      <c r="B209" s="50"/>
      <c r="C209" s="50"/>
    </row>
    <row r="210" spans="1:3">
      <c r="A210" s="50"/>
      <c r="B210" s="50"/>
      <c r="C210" s="50"/>
    </row>
    <row r="211" spans="1:3">
      <c r="A211" s="50"/>
      <c r="B211" s="50"/>
      <c r="C211" s="50"/>
    </row>
    <row r="212" spans="1:3">
      <c r="A212" s="50"/>
      <c r="B212" s="50"/>
      <c r="C212" s="50"/>
    </row>
    <row r="213" spans="1:3">
      <c r="A213" s="50"/>
      <c r="B213" s="50"/>
      <c r="C213" s="50"/>
    </row>
    <row r="214" spans="1:3">
      <c r="A214" s="50"/>
      <c r="B214" s="50"/>
      <c r="C214" s="50"/>
    </row>
    <row r="215" spans="1:3">
      <c r="A215" s="50"/>
      <c r="B215" s="50"/>
      <c r="C215" s="50"/>
    </row>
    <row r="216" spans="1:3">
      <c r="A216" s="50"/>
      <c r="B216" s="50"/>
      <c r="C216" s="50"/>
    </row>
    <row r="217" spans="1:3">
      <c r="A217" s="50"/>
      <c r="B217" s="50"/>
      <c r="C217" s="50"/>
    </row>
    <row r="218" spans="1:3">
      <c r="A218" s="50"/>
      <c r="B218" s="50"/>
      <c r="C218" s="50"/>
    </row>
    <row r="219" spans="1:3">
      <c r="A219" s="50"/>
      <c r="B219" s="50"/>
      <c r="C219" s="50"/>
    </row>
    <row r="220" spans="1:3">
      <c r="A220" s="50"/>
      <c r="B220" s="50"/>
      <c r="C220" s="50"/>
    </row>
    <row r="221" spans="1:3">
      <c r="A221" s="50"/>
      <c r="B221" s="50"/>
      <c r="C221" s="50"/>
    </row>
    <row r="222" spans="1:3">
      <c r="A222" s="50"/>
      <c r="B222" s="50"/>
      <c r="C222" s="50"/>
    </row>
    <row r="223" spans="1:3">
      <c r="A223" s="50"/>
      <c r="B223" s="50"/>
      <c r="C223" s="50"/>
    </row>
  </sheetData>
  <sheetProtection algorithmName="SHA-512" hashValue="WgNsTOQ6Hfwdq+/7dh7Hb/mdmU/b8wvDQIqpIwICTwHpvEvNreaCHH5WFoFzHWhwlIoQtSWFUoSYLOh5r284Pg==" saltValue="+Re/HMZBbU5sST/ZpUhl0w==" spinCount="100000" sheet="1" objects="1" scenarios="1"/>
  <mergeCells count="4">
    <mergeCell ref="A19:C19"/>
    <mergeCell ref="B1:D1"/>
    <mergeCell ref="B2:D2"/>
    <mergeCell ref="B3:D3"/>
  </mergeCells>
  <hyperlinks>
    <hyperlink ref="C26" location="'4'!A1" display="Zurück"/>
    <hyperlink ref="E26" location="'41t'!A1" display="'41t'!A1"/>
    <hyperlink ref="E28" location="'41uCH'!A1" display="'41uCH'!A1"/>
    <hyperlink ref="E30" location="'42t'!A1" display="'42t'!A1"/>
    <hyperlink ref="E32" location="'42uCH'!A1" display="'42uCH'!A1"/>
    <hyperlink ref="E34" location="'43t'!A1" display="'43t'!A1"/>
    <hyperlink ref="E36" location="'43uCH'!A1" display="'43uCH'!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B99EAA60-3EE8-4143-AA00-65267E9D275B}">
            <xm:f>txt!$B$222</xm:f>
            <x14:dxf>
              <font>
                <u/>
                <color rgb="FF0000FF"/>
              </font>
              <fill>
                <patternFill patternType="solid">
                  <fgColor indexed="64"/>
                  <bgColor rgb="FFFFFF00"/>
                </patternFill>
              </fill>
            </x14:dxf>
          </x14:cfRule>
          <xm:sqref>E26:E36</xm:sqref>
        </x14:conditionalFormatting>
      </x14:conditionalFormattings>
    </ex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tabColor theme="9" tint="0.39997558519241921"/>
    <pageSetUpPr fitToPage="1"/>
  </sheetPr>
  <dimension ref="A1:AW224"/>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12.6640625" style="133" customWidth="1"/>
    <col min="5" max="5" width="12.6640625" style="79" customWidth="1"/>
    <col min="6" max="6" width="2.6640625" style="79" customWidth="1"/>
    <col min="7" max="7" width="8.6640625" style="79" customWidth="1"/>
    <col min="8" max="9" width="12.6640625" style="79" customWidth="1"/>
    <col min="10" max="49" width="10.6640625" style="50"/>
    <col min="50" max="16384" width="10.6640625" style="79"/>
  </cols>
  <sheetData>
    <row r="1" spans="1:9" ht="15" customHeight="1">
      <c r="A1" s="50"/>
      <c r="B1" s="366" t="str">
        <f>txt!B42</f>
        <v>Preiserhebung</v>
      </c>
      <c r="C1" s="366"/>
      <c r="D1" s="366"/>
      <c r="E1" s="366"/>
      <c r="F1" s="366"/>
      <c r="G1" s="50"/>
      <c r="H1" s="50"/>
      <c r="I1" s="51" t="str">
        <f>txt!B175</f>
        <v>Eidg. Departement des Innern</v>
      </c>
    </row>
    <row r="2" spans="1:9" ht="15" customHeight="1">
      <c r="A2" s="50"/>
      <c r="B2" s="366" t="str">
        <f>txt!B43</f>
        <v>Produzentenpreisindex</v>
      </c>
      <c r="C2" s="366"/>
      <c r="D2" s="366"/>
      <c r="E2" s="366"/>
      <c r="F2" s="366"/>
      <c r="G2" s="50"/>
      <c r="H2" s="50"/>
      <c r="I2" s="51" t="str">
        <f>txt!B176</f>
        <v>Bundesamt für Statistik BFS</v>
      </c>
    </row>
    <row r="3" spans="1:9" ht="15" customHeight="1">
      <c r="A3" s="50"/>
      <c r="B3" s="366" t="str">
        <f>txt!B44</f>
        <v>Informatikdienstleistungen</v>
      </c>
      <c r="C3" s="366"/>
      <c r="D3" s="366"/>
      <c r="E3" s="366"/>
      <c r="F3" s="366"/>
      <c r="G3" s="50"/>
      <c r="H3" s="50"/>
      <c r="I3" s="51" t="str">
        <f>txt!B177</f>
        <v>Abt. Wirtschaft, Sektion PREIS</v>
      </c>
    </row>
    <row r="4" spans="1:9" ht="13.5" customHeight="1">
      <c r="A4" s="63"/>
      <c r="B4" s="63"/>
      <c r="C4" s="63"/>
      <c r="D4" s="63"/>
      <c r="E4" s="63"/>
      <c r="F4" s="63"/>
      <c r="G4" s="63"/>
      <c r="H4" s="63"/>
      <c r="I4" s="63"/>
    </row>
    <row r="5" spans="1:9" ht="13.5" customHeight="1">
      <c r="A5" s="63" t="str">
        <f>txt!B46</f>
        <v>PMS-Nr. 0</v>
      </c>
      <c r="B5" s="63"/>
      <c r="C5" s="63"/>
      <c r="D5" s="63"/>
      <c r="E5" s="63"/>
      <c r="F5" s="63"/>
      <c r="G5" s="63"/>
      <c r="H5" s="63"/>
      <c r="I5" s="51" t="str">
        <f>txt!B45</f>
        <v/>
      </c>
    </row>
    <row r="6" spans="1:9" ht="13.5" customHeight="1">
      <c r="A6" s="63"/>
      <c r="B6" s="63"/>
      <c r="C6" s="63"/>
      <c r="D6" s="63"/>
      <c r="E6" s="63"/>
      <c r="F6" s="63"/>
      <c r="G6" s="63"/>
      <c r="H6" s="63"/>
      <c r="I6" s="63"/>
    </row>
    <row r="7" spans="1:9" ht="13.5" customHeight="1">
      <c r="A7" s="63" t="str">
        <f>txt!B47&amp;": "&amp;txt!B52</f>
        <v>Geschäftsfeld: IT-Infrastrukturdienste</v>
      </c>
      <c r="B7" s="63"/>
      <c r="C7" s="63"/>
      <c r="D7" s="63"/>
      <c r="E7" s="63"/>
      <c r="F7" s="63"/>
      <c r="G7" s="349" t="str">
        <f>" "&amp;REPT("|",INT(Steuerung!AA39*105))</f>
        <v xml:space="preserve"> </v>
      </c>
      <c r="H7" s="350"/>
      <c r="I7" s="351"/>
    </row>
    <row r="8" spans="1:9" ht="13.5" customHeight="1">
      <c r="A8" s="63" t="str">
        <f>txt!B48&amp;": "&amp;txt!B62</f>
        <v>Dienstleistungstyp: Infrastructure as a Service (IaaS)</v>
      </c>
      <c r="B8" s="63"/>
      <c r="C8" s="63"/>
      <c r="D8" s="63"/>
      <c r="E8" s="63"/>
      <c r="F8" s="63"/>
      <c r="G8" s="63"/>
      <c r="H8" s="63"/>
      <c r="I8" s="65" t="str">
        <f>IF($A$17="",txt!B197,IF(OR($D$17="",AND($A$25=0,$H$17="")),txt!B233,IF(OR($E$17="",AND($A$25=0,$I$17="")),txt!B234,IF(AND($A$25=0,$G$17=""),txt!B235,IF(A26=1,"","")))))</f>
        <v>Beschreiben Sie eine typische IaaS-Leistung</v>
      </c>
    </row>
    <row r="9" spans="1:9" ht="13.5" customHeight="1">
      <c r="A9" s="177"/>
      <c r="B9" s="63"/>
      <c r="C9" s="63"/>
      <c r="D9" s="63"/>
      <c r="E9" s="63"/>
      <c r="F9" s="63"/>
      <c r="G9" s="63"/>
      <c r="H9" s="63"/>
      <c r="I9" s="63"/>
    </row>
    <row r="10" spans="1:9" ht="13.5" customHeight="1">
      <c r="A10" s="357" t="str">
        <f>txt!B191</f>
        <v>Zu welchem Unit-Nettopreis würden Sie die von Ihnen unten beschriebene Dienstleistung anbieten?</v>
      </c>
      <c r="B10" s="357"/>
      <c r="C10" s="357"/>
      <c r="D10" s="357"/>
      <c r="E10" s="357"/>
      <c r="F10" s="357"/>
      <c r="G10" s="357"/>
      <c r="H10" s="357"/>
      <c r="I10" s="357"/>
    </row>
    <row r="11" spans="1:9" ht="13.5" customHeight="1">
      <c r="A11" s="157"/>
      <c r="B11" s="157"/>
      <c r="C11" s="157"/>
      <c r="D11" s="157"/>
      <c r="E11" s="157"/>
      <c r="F11" s="157"/>
      <c r="G11" s="157"/>
      <c r="H11" s="157"/>
      <c r="I11" s="157"/>
    </row>
    <row r="12" spans="1:9" ht="13.5" customHeight="1">
      <c r="A12" s="157"/>
      <c r="B12" s="157"/>
      <c r="C12" s="157"/>
      <c r="D12" s="157"/>
      <c r="E12" s="157"/>
      <c r="F12" s="157"/>
      <c r="G12" s="157"/>
      <c r="H12" s="157"/>
      <c r="I12" s="157"/>
    </row>
    <row r="13" spans="1:9" ht="13.5" customHeight="1">
      <c r="A13" s="50"/>
      <c r="B13" s="50"/>
      <c r="C13" s="50"/>
      <c r="D13" s="167" t="str">
        <f>txt!B157</f>
        <v>Kunde in der Schweiz</v>
      </c>
      <c r="E13" s="135"/>
      <c r="F13" s="135"/>
      <c r="G13" s="167" t="str">
        <f>txt!B158</f>
        <v>Kunde im Ausland</v>
      </c>
      <c r="H13" s="167"/>
      <c r="I13" s="167"/>
    </row>
    <row r="14" spans="1:9" ht="13.5" customHeight="1">
      <c r="A14" s="50"/>
      <c r="B14" s="50"/>
      <c r="C14" s="50"/>
      <c r="D14" s="167"/>
      <c r="E14" s="135"/>
      <c r="F14" s="135"/>
      <c r="G14" s="167"/>
      <c r="H14" s="167"/>
      <c r="I14" s="167"/>
    </row>
    <row r="15" spans="1:9" ht="13.5" customHeight="1">
      <c r="B15" s="50"/>
      <c r="C15" s="50"/>
      <c r="D15" s="168" t="str">
        <f>txt!B23</f>
        <v>März 2022</v>
      </c>
      <c r="E15" s="168" t="str">
        <f>txt!B24</f>
        <v>März 2021</v>
      </c>
      <c r="F15" s="169"/>
      <c r="G15" s="165"/>
      <c r="H15" s="168" t="str">
        <f>D15</f>
        <v>März 2022</v>
      </c>
      <c r="I15" s="168" t="str">
        <f>E15</f>
        <v>März 2021</v>
      </c>
    </row>
    <row r="16" spans="1:9" ht="13.5" customHeight="1">
      <c r="A16" s="57" t="str">
        <f>txt!B197&amp;":"</f>
        <v>Beschreiben Sie eine typische IaaS-Leistung:</v>
      </c>
      <c r="B16" s="50"/>
      <c r="C16" s="50"/>
      <c r="D16" s="170" t="str">
        <f>txt!B166</f>
        <v>Preis</v>
      </c>
      <c r="E16" s="170" t="str">
        <f>txt!B166</f>
        <v>Preis</v>
      </c>
      <c r="F16" s="169"/>
      <c r="G16" s="169" t="str">
        <f>txt!B161</f>
        <v>Währung</v>
      </c>
      <c r="H16" s="170" t="str">
        <f>D16</f>
        <v>Preis</v>
      </c>
      <c r="I16" s="170" t="str">
        <f>E16</f>
        <v>Preis</v>
      </c>
    </row>
    <row r="17" spans="1:9" ht="40.5" customHeight="1">
      <c r="A17" s="307"/>
      <c r="B17" s="137"/>
      <c r="C17" s="171"/>
      <c r="D17" s="309"/>
      <c r="E17" s="309"/>
      <c r="F17" s="172"/>
      <c r="G17" s="279"/>
      <c r="H17" s="284"/>
      <c r="I17" s="284"/>
    </row>
    <row r="18" spans="1:9" ht="13.5" customHeight="1">
      <c r="A18" s="157"/>
      <c r="B18" s="157"/>
      <c r="C18" s="157"/>
      <c r="D18" s="50"/>
      <c r="E18" s="50"/>
      <c r="F18" s="157"/>
      <c r="H18" s="50"/>
      <c r="I18" s="50"/>
    </row>
    <row r="19" spans="1:9" ht="40.5" customHeight="1">
      <c r="A19" s="234" t="str">
        <f>txt!B200</f>
        <v>Beispiel: Storage on Demand (x GB durchschnittliche, effektive Nutzung pro Monat), y% Verfügbarkeit, x-fache Redundanz, Service Level: Standard, Sicherheitslevel: Standard, ohne Setup beim Kunden.</v>
      </c>
      <c r="B19" s="157"/>
      <c r="C19" s="157"/>
      <c r="D19" s="348" t="str">
        <f>txt!B159</f>
        <v>Defintion "Kunde in der Schweiz": Adresse des Leistungsbezügers im Inland.</v>
      </c>
      <c r="E19" s="348"/>
      <c r="F19" s="173"/>
      <c r="G19" s="348" t="str">
        <f>txt!B160</f>
        <v>Definition "Kunde im Ausland": Adresse des Leistungsbezügers im Ausland.</v>
      </c>
      <c r="H19" s="348"/>
      <c r="I19" s="348"/>
    </row>
    <row r="20" spans="1:9" ht="7.5" customHeight="1">
      <c r="A20" s="157"/>
      <c r="B20" s="157"/>
      <c r="C20" s="157"/>
      <c r="D20" s="173"/>
      <c r="E20" s="173"/>
      <c r="F20" s="173"/>
      <c r="G20" s="173"/>
      <c r="H20" s="173"/>
      <c r="I20" s="173"/>
    </row>
    <row r="21" spans="1:9" ht="40.5" customHeight="1">
      <c r="A21" s="234" t="str">
        <f>txt!B201</f>
        <v>Beispiel: Virtueller Server mit x vCPU, y Memory, z Speicherplatz, x% Verfügbarkeit, Netzwerkeinbindung, Sicherheitslevel: Standard.</v>
      </c>
      <c r="B21" s="157"/>
      <c r="C21" s="157"/>
      <c r="D21" s="374" t="str">
        <f>txt!B169</f>
        <v>Die Preise sind ohne Mehrwertsteuer anzugeben.</v>
      </c>
      <c r="E21" s="374"/>
      <c r="F21" s="173"/>
      <c r="G21" s="371"/>
      <c r="H21" s="371"/>
      <c r="I21" s="371"/>
    </row>
    <row r="22" spans="1:9" ht="13.5" customHeight="1">
      <c r="A22" s="157"/>
      <c r="B22" s="157"/>
      <c r="C22" s="157"/>
      <c r="D22" s="157"/>
      <c r="E22" s="157"/>
      <c r="F22" s="157"/>
      <c r="G22" s="157"/>
      <c r="H22" s="157"/>
      <c r="I22" s="157"/>
    </row>
    <row r="23" spans="1:9" ht="13.5" customHeight="1">
      <c r="A23" s="157" t="str">
        <f>txt!B173&amp;":"</f>
        <v>Bemerkungen:</v>
      </c>
      <c r="B23" s="157"/>
      <c r="C23" s="157"/>
      <c r="D23" s="157"/>
      <c r="E23" s="157"/>
      <c r="F23" s="157"/>
      <c r="G23" s="157"/>
      <c r="H23" s="157"/>
      <c r="I23" s="157"/>
    </row>
    <row r="24" spans="1:9" ht="54" customHeight="1">
      <c r="A24" s="367"/>
      <c r="B24" s="368"/>
      <c r="C24" s="368"/>
      <c r="D24" s="368"/>
      <c r="E24" s="368"/>
      <c r="F24" s="368"/>
      <c r="G24" s="368"/>
      <c r="H24" s="368"/>
      <c r="I24" s="369"/>
    </row>
    <row r="25" spans="1:9" ht="13.5" customHeight="1">
      <c r="A25" s="78">
        <f>Steuerung!E40</f>
        <v>1</v>
      </c>
      <c r="B25" s="57"/>
      <c r="C25" s="57"/>
      <c r="D25" s="57"/>
      <c r="E25" s="50"/>
      <c r="F25" s="50"/>
      <c r="G25" s="50"/>
      <c r="H25" s="50"/>
      <c r="I25" s="50"/>
    </row>
    <row r="26" spans="1:9" ht="13.5" customHeight="1">
      <c r="A26" s="78">
        <f>Steuerung!H$39</f>
        <v>0</v>
      </c>
      <c r="B26" s="50"/>
      <c r="C26" s="268" t="str">
        <f>txt!$B$221</f>
        <v>ZURÜCK</v>
      </c>
      <c r="D26" s="50"/>
      <c r="E26" s="50"/>
      <c r="F26" s="50"/>
      <c r="G26" s="269" t="str">
        <f>IF($A$17="","",IF(OR($D$17="",AND($A$25=0,$H$17="")),"",IF(OR($E$17="",AND($A$25=0,$I$17="")),"",IF(AND($A$25=0,$G$17=""),"",IF(A26=1,txt!$B$222,"")))))</f>
        <v/>
      </c>
      <c r="H26" s="50"/>
      <c r="I26" s="50"/>
    </row>
    <row r="27" spans="1:9" ht="13.5" customHeight="1">
      <c r="A27" s="78"/>
      <c r="B27" s="50"/>
      <c r="C27" s="50"/>
      <c r="D27" s="50"/>
      <c r="E27" s="62"/>
      <c r="F27" s="50"/>
      <c r="G27" s="62"/>
      <c r="H27" s="50"/>
      <c r="I27" s="112"/>
    </row>
    <row r="28" spans="1:9" ht="13.5" customHeight="1">
      <c r="A28" s="78">
        <f>Steuerung!J$39</f>
        <v>0</v>
      </c>
      <c r="B28" s="50"/>
      <c r="C28" s="50"/>
      <c r="D28" s="50"/>
      <c r="E28" s="50"/>
      <c r="F28" s="50"/>
      <c r="G28" s="269" t="str">
        <f>IF($A$17="","",IF(OR($D$17="",AND($A$25=0,$H$17="")),"",IF(OR($E$17="",AND($A$25=0,$I$17="")),"",IF(AND($A$25=0,$G$17=""),"",IF(AND(A26=0,A28=1),txt!$B$222,"")))))</f>
        <v/>
      </c>
      <c r="H28" s="50"/>
      <c r="I28" s="50"/>
    </row>
    <row r="29" spans="1:9">
      <c r="A29" s="78"/>
      <c r="B29" s="50"/>
      <c r="C29" s="50"/>
      <c r="D29" s="50"/>
      <c r="E29" s="62"/>
      <c r="F29" s="50"/>
      <c r="G29" s="62"/>
      <c r="H29" s="50"/>
      <c r="I29" s="112"/>
    </row>
    <row r="30" spans="1:9">
      <c r="A30" s="78">
        <f>Steuerung!L$39</f>
        <v>1</v>
      </c>
      <c r="B30" s="50"/>
      <c r="C30" s="50"/>
      <c r="D30" s="50"/>
      <c r="E30" s="50"/>
      <c r="F30" s="50"/>
      <c r="G30" s="274" t="str">
        <f>IF($A$17="","",IF(OR($D$17="",AND($A$25=0,$H$17="")),"",IF(OR($E$17="",AND($A$25=0,$I$17="")),"",IF(AND($A$25=0,$G$17=""),"",IF(AND(A28=0,A30=1),txt!$B$222,"")))))</f>
        <v/>
      </c>
      <c r="H30" s="50"/>
      <c r="I30" s="50"/>
    </row>
    <row r="31" spans="1:9">
      <c r="A31" s="63"/>
      <c r="B31" s="63"/>
      <c r="C31" s="63"/>
      <c r="D31" s="63"/>
      <c r="E31" s="63"/>
      <c r="F31" s="50"/>
      <c r="G31" s="50"/>
      <c r="H31" s="50"/>
      <c r="I31" s="50"/>
    </row>
    <row r="32" spans="1:9">
      <c r="A32" s="63"/>
      <c r="B32" s="63"/>
      <c r="C32" s="63"/>
      <c r="D32" s="63"/>
      <c r="E32" s="63"/>
      <c r="F32" s="50"/>
      <c r="G32" s="50"/>
      <c r="H32" s="50"/>
      <c r="I32" s="50"/>
    </row>
    <row r="33" spans="1:9">
      <c r="A33" s="50"/>
      <c r="B33" s="50"/>
      <c r="C33" s="50"/>
      <c r="D33" s="50"/>
      <c r="E33" s="50"/>
      <c r="F33" s="50"/>
      <c r="G33" s="50"/>
      <c r="H33" s="50"/>
      <c r="I33" s="50"/>
    </row>
    <row r="34" spans="1:9">
      <c r="A34" s="50"/>
      <c r="B34" s="50"/>
      <c r="C34" s="50"/>
      <c r="D34" s="50"/>
      <c r="E34" s="50"/>
      <c r="F34" s="50"/>
      <c r="G34" s="50"/>
      <c r="H34" s="50"/>
      <c r="I34" s="50"/>
    </row>
    <row r="35" spans="1:9">
      <c r="A35" s="50"/>
      <c r="B35" s="50"/>
      <c r="C35" s="50"/>
      <c r="D35" s="50"/>
      <c r="E35" s="50"/>
      <c r="F35" s="50"/>
      <c r="G35" s="50"/>
      <c r="H35" s="50"/>
      <c r="I35" s="50"/>
    </row>
    <row r="36" spans="1:9">
      <c r="A36" s="50"/>
      <c r="B36" s="50"/>
      <c r="C36" s="50"/>
      <c r="D36" s="50"/>
      <c r="E36" s="50"/>
      <c r="F36" s="50"/>
      <c r="G36" s="50"/>
      <c r="H36" s="50"/>
      <c r="I36" s="50"/>
    </row>
    <row r="37" spans="1:9">
      <c r="A37" s="50"/>
      <c r="B37" s="50"/>
      <c r="C37" s="50"/>
      <c r="D37" s="50"/>
      <c r="E37" s="50"/>
      <c r="F37" s="50"/>
      <c r="G37" s="50"/>
      <c r="H37" s="50"/>
      <c r="I37" s="50"/>
    </row>
    <row r="38" spans="1:9" ht="12.95" customHeight="1">
      <c r="A38" s="50"/>
      <c r="B38" s="50"/>
      <c r="C38" s="50"/>
      <c r="D38" s="50"/>
      <c r="E38" s="50"/>
      <c r="F38" s="50"/>
      <c r="G38" s="50"/>
      <c r="H38" s="50"/>
      <c r="I38" s="50"/>
    </row>
    <row r="39" spans="1:9">
      <c r="A39" s="50"/>
      <c r="B39" s="50"/>
      <c r="C39" s="50"/>
      <c r="D39" s="50"/>
      <c r="E39" s="50"/>
      <c r="F39" s="50"/>
      <c r="G39" s="50"/>
      <c r="H39" s="50"/>
      <c r="I39" s="50"/>
    </row>
    <row r="40" spans="1:9">
      <c r="A40" s="50"/>
      <c r="B40" s="50"/>
      <c r="C40" s="50"/>
      <c r="D40" s="50"/>
      <c r="E40" s="50"/>
      <c r="F40" s="50"/>
      <c r="G40" s="50"/>
      <c r="H40" s="50"/>
      <c r="I40" s="50"/>
    </row>
    <row r="41" spans="1:9">
      <c r="A41" s="50"/>
      <c r="B41" s="50"/>
      <c r="C41" s="50"/>
      <c r="D41" s="50"/>
      <c r="E41" s="50"/>
      <c r="F41" s="50"/>
      <c r="G41" s="50"/>
      <c r="H41" s="50"/>
      <c r="I41" s="50"/>
    </row>
    <row r="42" spans="1:9">
      <c r="A42" s="50"/>
      <c r="B42" s="50"/>
      <c r="C42" s="50"/>
      <c r="D42" s="50"/>
      <c r="E42" s="50"/>
      <c r="F42" s="50"/>
      <c r="G42" s="50"/>
      <c r="H42" s="50"/>
      <c r="I42" s="50"/>
    </row>
    <row r="43" spans="1:9">
      <c r="A43" s="50"/>
      <c r="B43" s="50"/>
      <c r="C43" s="50"/>
      <c r="D43" s="50"/>
      <c r="E43" s="50"/>
      <c r="F43" s="50"/>
      <c r="G43" s="50"/>
      <c r="H43" s="50"/>
      <c r="I43" s="50"/>
    </row>
    <row r="44" spans="1:9">
      <c r="A44" s="50"/>
      <c r="B44" s="50"/>
      <c r="C44" s="50"/>
      <c r="D44" s="50"/>
      <c r="E44" s="50"/>
      <c r="F44" s="50"/>
      <c r="G44" s="50"/>
      <c r="H44" s="50"/>
      <c r="I44" s="50"/>
    </row>
    <row r="45" spans="1:9">
      <c r="A45" s="50"/>
      <c r="B45" s="50"/>
      <c r="C45" s="50"/>
      <c r="D45" s="50"/>
      <c r="E45" s="50"/>
      <c r="F45" s="50"/>
      <c r="G45" s="50"/>
      <c r="H45" s="50"/>
      <c r="I45" s="50"/>
    </row>
    <row r="46" spans="1:9">
      <c r="A46" s="50"/>
      <c r="B46" s="50"/>
      <c r="C46" s="50"/>
      <c r="D46" s="50"/>
      <c r="E46" s="50"/>
      <c r="F46" s="50"/>
      <c r="G46" s="50"/>
      <c r="H46" s="50"/>
      <c r="I46" s="50"/>
    </row>
    <row r="47" spans="1:9">
      <c r="A47" s="50"/>
      <c r="B47" s="50"/>
      <c r="C47" s="50"/>
      <c r="D47" s="50"/>
      <c r="E47" s="50"/>
      <c r="F47" s="50"/>
      <c r="G47" s="50"/>
      <c r="H47" s="50"/>
      <c r="I47" s="50"/>
    </row>
    <row r="48" spans="1:9">
      <c r="A48" s="50"/>
      <c r="B48" s="50"/>
      <c r="C48" s="50"/>
      <c r="D48" s="50"/>
      <c r="E48" s="50"/>
      <c r="F48" s="50"/>
      <c r="G48" s="50"/>
      <c r="H48" s="50"/>
      <c r="I48" s="50"/>
    </row>
    <row r="49" spans="1:9">
      <c r="A49" s="50"/>
      <c r="B49" s="50"/>
      <c r="C49" s="50"/>
      <c r="D49" s="50"/>
      <c r="E49" s="50"/>
      <c r="F49" s="50"/>
      <c r="G49" s="50"/>
      <c r="H49" s="50"/>
      <c r="I49" s="50"/>
    </row>
    <row r="50" spans="1:9">
      <c r="A50" s="50"/>
      <c r="B50" s="50"/>
      <c r="C50" s="50"/>
      <c r="D50" s="50"/>
      <c r="E50" s="50"/>
      <c r="F50" s="50"/>
      <c r="G50" s="50"/>
      <c r="H50" s="50"/>
      <c r="I50" s="50"/>
    </row>
    <row r="51" spans="1:9">
      <c r="A51" s="50"/>
      <c r="B51" s="50"/>
      <c r="C51" s="50"/>
      <c r="D51" s="50"/>
      <c r="E51" s="50"/>
      <c r="F51" s="50"/>
      <c r="G51" s="50"/>
      <c r="H51" s="50"/>
      <c r="I51" s="50"/>
    </row>
    <row r="52" spans="1:9">
      <c r="A52" s="50"/>
      <c r="B52" s="50"/>
      <c r="C52" s="50"/>
      <c r="D52" s="50"/>
      <c r="E52" s="50"/>
      <c r="F52" s="50"/>
      <c r="G52" s="50"/>
      <c r="H52" s="50"/>
      <c r="I52" s="50"/>
    </row>
    <row r="53" spans="1:9">
      <c r="A53" s="50"/>
      <c r="B53" s="50"/>
      <c r="C53" s="50"/>
      <c r="D53" s="50"/>
      <c r="E53" s="50"/>
      <c r="F53" s="50"/>
      <c r="G53" s="50"/>
      <c r="H53" s="50"/>
      <c r="I53" s="50"/>
    </row>
    <row r="54" spans="1:9">
      <c r="A54" s="50"/>
      <c r="B54" s="50"/>
      <c r="C54" s="50"/>
      <c r="D54" s="50"/>
      <c r="E54" s="50"/>
      <c r="F54" s="50"/>
      <c r="G54" s="50"/>
      <c r="H54" s="50"/>
      <c r="I54" s="50"/>
    </row>
    <row r="55" spans="1:9">
      <c r="A55" s="50"/>
      <c r="B55" s="50"/>
      <c r="C55" s="50"/>
      <c r="D55" s="50"/>
      <c r="E55" s="50"/>
      <c r="F55" s="50"/>
      <c r="G55" s="50"/>
      <c r="H55" s="50"/>
      <c r="I55" s="50"/>
    </row>
    <row r="56" spans="1:9">
      <c r="A56" s="50"/>
      <c r="B56" s="50"/>
      <c r="C56" s="50"/>
      <c r="D56" s="50"/>
      <c r="E56" s="50"/>
      <c r="F56" s="50"/>
      <c r="G56" s="50"/>
      <c r="H56" s="50"/>
      <c r="I56" s="50"/>
    </row>
    <row r="57" spans="1:9">
      <c r="A57" s="50"/>
      <c r="B57" s="50"/>
      <c r="C57" s="50"/>
      <c r="D57" s="50"/>
      <c r="E57" s="50"/>
      <c r="F57" s="50"/>
      <c r="G57" s="50"/>
      <c r="H57" s="50"/>
      <c r="I57" s="50"/>
    </row>
    <row r="58" spans="1:9">
      <c r="A58" s="50"/>
      <c r="B58" s="50"/>
      <c r="C58" s="50"/>
      <c r="D58" s="50"/>
      <c r="E58" s="50"/>
      <c r="F58" s="50"/>
      <c r="G58" s="50"/>
      <c r="H58" s="50"/>
      <c r="I58" s="50"/>
    </row>
    <row r="59" spans="1:9">
      <c r="A59" s="50"/>
      <c r="B59" s="50"/>
      <c r="C59" s="50"/>
      <c r="D59" s="50"/>
      <c r="E59" s="50"/>
      <c r="F59" s="50"/>
      <c r="G59" s="50"/>
      <c r="H59" s="50"/>
      <c r="I59" s="50"/>
    </row>
    <row r="60" spans="1:9">
      <c r="A60" s="50"/>
      <c r="B60" s="50"/>
      <c r="C60" s="50"/>
      <c r="D60" s="50"/>
      <c r="E60" s="50"/>
      <c r="F60" s="50"/>
      <c r="G60" s="50"/>
      <c r="H60" s="50"/>
      <c r="I60" s="50"/>
    </row>
    <row r="61" spans="1:9">
      <c r="A61" s="50"/>
      <c r="B61" s="50"/>
      <c r="C61" s="50"/>
      <c r="D61" s="50"/>
      <c r="E61" s="50"/>
      <c r="F61" s="50"/>
      <c r="G61" s="50"/>
      <c r="H61" s="50"/>
      <c r="I61" s="50"/>
    </row>
    <row r="62" spans="1:9">
      <c r="A62" s="50"/>
      <c r="B62" s="50"/>
      <c r="C62" s="50"/>
      <c r="D62" s="50"/>
      <c r="E62" s="50"/>
      <c r="F62" s="50"/>
      <c r="G62" s="50"/>
      <c r="H62" s="50"/>
      <c r="I62" s="50"/>
    </row>
    <row r="63" spans="1:9">
      <c r="A63" s="50"/>
      <c r="B63" s="50"/>
      <c r="C63" s="50"/>
      <c r="D63" s="50"/>
      <c r="E63" s="50"/>
      <c r="F63" s="50"/>
      <c r="G63" s="50"/>
      <c r="H63" s="50"/>
      <c r="I63" s="50"/>
    </row>
    <row r="64" spans="1:9">
      <c r="A64" s="50"/>
      <c r="B64" s="50"/>
      <c r="C64" s="50"/>
      <c r="D64" s="50"/>
      <c r="E64" s="50"/>
      <c r="F64" s="50"/>
      <c r="G64" s="50"/>
      <c r="H64" s="50"/>
      <c r="I64" s="50"/>
    </row>
    <row r="65" spans="1:9">
      <c r="A65" s="50"/>
      <c r="B65" s="50"/>
      <c r="C65" s="50"/>
      <c r="D65" s="50"/>
      <c r="E65" s="50"/>
      <c r="F65" s="50"/>
      <c r="G65" s="50"/>
      <c r="H65" s="50"/>
      <c r="I65" s="50"/>
    </row>
    <row r="66" spans="1:9">
      <c r="A66" s="50"/>
      <c r="B66" s="50"/>
      <c r="C66" s="50"/>
      <c r="D66" s="50"/>
      <c r="E66" s="50"/>
      <c r="F66" s="50"/>
      <c r="G66" s="50"/>
      <c r="H66" s="50"/>
      <c r="I66" s="50"/>
    </row>
    <row r="67" spans="1:9">
      <c r="A67" s="50"/>
      <c r="B67" s="50"/>
      <c r="C67" s="50"/>
      <c r="D67" s="50"/>
      <c r="E67" s="50"/>
      <c r="F67" s="50"/>
      <c r="G67" s="50"/>
      <c r="H67" s="50"/>
      <c r="I67" s="50"/>
    </row>
    <row r="68" spans="1:9">
      <c r="A68" s="50"/>
      <c r="B68" s="50"/>
      <c r="C68" s="50"/>
      <c r="D68" s="50"/>
      <c r="E68" s="50"/>
      <c r="F68" s="50"/>
      <c r="G68" s="50"/>
      <c r="H68" s="50"/>
      <c r="I68" s="50"/>
    </row>
    <row r="69" spans="1:9">
      <c r="A69" s="50"/>
      <c r="B69" s="50"/>
      <c r="C69" s="50"/>
      <c r="D69" s="50"/>
      <c r="E69" s="50"/>
      <c r="F69" s="50"/>
      <c r="G69" s="50"/>
      <c r="H69" s="50"/>
      <c r="I69" s="50"/>
    </row>
    <row r="70" spans="1:9">
      <c r="A70" s="50"/>
      <c r="B70" s="50"/>
      <c r="C70" s="50"/>
      <c r="D70" s="50"/>
      <c r="E70" s="50"/>
      <c r="F70" s="50"/>
      <c r="G70" s="50"/>
      <c r="H70" s="50"/>
      <c r="I70" s="50"/>
    </row>
    <row r="71" spans="1:9">
      <c r="A71" s="50"/>
      <c r="B71" s="50"/>
      <c r="C71" s="50"/>
      <c r="D71" s="50"/>
      <c r="E71" s="50"/>
      <c r="F71" s="50"/>
      <c r="G71" s="50"/>
      <c r="H71" s="50"/>
      <c r="I71" s="50"/>
    </row>
    <row r="72" spans="1:9">
      <c r="A72" s="50"/>
      <c r="B72" s="50"/>
      <c r="C72" s="50"/>
      <c r="D72" s="50"/>
      <c r="E72" s="50"/>
      <c r="F72" s="50"/>
      <c r="G72" s="50"/>
      <c r="H72" s="50"/>
      <c r="I72" s="50"/>
    </row>
    <row r="73" spans="1:9">
      <c r="A73" s="50"/>
      <c r="B73" s="50"/>
      <c r="C73" s="50"/>
      <c r="D73" s="50"/>
      <c r="E73" s="50"/>
      <c r="F73" s="50"/>
      <c r="G73" s="50"/>
      <c r="H73" s="50"/>
      <c r="I73" s="50"/>
    </row>
    <row r="74" spans="1:9">
      <c r="A74" s="50"/>
      <c r="B74" s="50"/>
      <c r="C74" s="50"/>
      <c r="D74" s="50"/>
      <c r="E74" s="50"/>
      <c r="F74" s="50"/>
      <c r="G74" s="50"/>
      <c r="H74" s="50"/>
      <c r="I74" s="50"/>
    </row>
    <row r="75" spans="1:9">
      <c r="A75" s="50"/>
      <c r="B75" s="50"/>
      <c r="C75" s="50"/>
      <c r="D75" s="50"/>
      <c r="E75" s="50"/>
      <c r="F75" s="50"/>
      <c r="G75" s="50"/>
      <c r="H75" s="50"/>
      <c r="I75" s="50"/>
    </row>
    <row r="76" spans="1:9">
      <c r="A76" s="50"/>
      <c r="B76" s="50"/>
      <c r="C76" s="50"/>
      <c r="D76" s="50"/>
      <c r="E76" s="50"/>
      <c r="F76" s="50"/>
      <c r="G76" s="50"/>
      <c r="H76" s="50"/>
      <c r="I76" s="50"/>
    </row>
    <row r="77" spans="1:9">
      <c r="A77" s="50"/>
      <c r="B77" s="50"/>
      <c r="C77" s="50"/>
      <c r="D77" s="50"/>
      <c r="E77" s="50"/>
      <c r="F77" s="50"/>
      <c r="G77" s="50"/>
      <c r="H77" s="50"/>
      <c r="I77" s="50"/>
    </row>
    <row r="78" spans="1:9">
      <c r="A78" s="50"/>
      <c r="B78" s="50"/>
      <c r="C78" s="50"/>
      <c r="D78" s="50"/>
      <c r="E78" s="50"/>
      <c r="F78" s="50"/>
      <c r="G78" s="50"/>
      <c r="H78" s="50"/>
      <c r="I78" s="50"/>
    </row>
    <row r="79" spans="1:9">
      <c r="A79" s="50"/>
      <c r="B79" s="50"/>
      <c r="C79" s="50"/>
      <c r="D79" s="50"/>
      <c r="E79" s="50"/>
      <c r="F79" s="50"/>
      <c r="G79" s="50"/>
      <c r="H79" s="50"/>
      <c r="I79" s="50"/>
    </row>
    <row r="80" spans="1:9">
      <c r="A80" s="50"/>
      <c r="B80" s="50"/>
      <c r="C80" s="50"/>
      <c r="D80" s="50"/>
      <c r="E80" s="50"/>
      <c r="F80" s="50"/>
      <c r="G80" s="50"/>
      <c r="H80" s="50"/>
      <c r="I80" s="50"/>
    </row>
    <row r="81" spans="1:9">
      <c r="A81" s="50"/>
      <c r="B81" s="50"/>
      <c r="C81" s="50"/>
      <c r="D81" s="50"/>
      <c r="E81" s="50"/>
      <c r="F81" s="50"/>
      <c r="G81" s="50"/>
      <c r="H81" s="50"/>
      <c r="I81" s="50"/>
    </row>
    <row r="82" spans="1:9">
      <c r="A82" s="50"/>
      <c r="B82" s="50"/>
      <c r="C82" s="50"/>
      <c r="D82" s="50"/>
      <c r="E82" s="50"/>
      <c r="F82" s="50"/>
      <c r="G82" s="50"/>
      <c r="H82" s="50"/>
      <c r="I82" s="50"/>
    </row>
    <row r="83" spans="1:9">
      <c r="A83" s="50"/>
      <c r="B83" s="50"/>
      <c r="C83" s="50"/>
      <c r="D83" s="50"/>
      <c r="E83" s="50"/>
      <c r="F83" s="50"/>
      <c r="G83" s="50"/>
      <c r="H83" s="50"/>
      <c r="I83" s="50"/>
    </row>
    <row r="84" spans="1:9">
      <c r="A84" s="50"/>
      <c r="B84" s="50"/>
      <c r="C84" s="50"/>
      <c r="D84" s="50"/>
      <c r="E84" s="50"/>
      <c r="F84" s="50"/>
      <c r="G84" s="50"/>
      <c r="H84" s="50"/>
      <c r="I84" s="50"/>
    </row>
    <row r="85" spans="1:9">
      <c r="A85" s="50"/>
      <c r="B85" s="50"/>
      <c r="C85" s="50"/>
      <c r="D85" s="50"/>
      <c r="E85" s="50"/>
      <c r="F85" s="50"/>
      <c r="G85" s="50"/>
      <c r="H85" s="50"/>
      <c r="I85" s="50"/>
    </row>
    <row r="86" spans="1:9">
      <c r="A86" s="50"/>
      <c r="B86" s="50"/>
      <c r="C86" s="50"/>
      <c r="D86" s="50"/>
      <c r="E86" s="50"/>
      <c r="F86" s="50"/>
      <c r="G86" s="50"/>
      <c r="H86" s="50"/>
      <c r="I86" s="50"/>
    </row>
    <row r="87" spans="1:9">
      <c r="A87" s="50"/>
      <c r="B87" s="50"/>
      <c r="C87" s="50"/>
      <c r="D87" s="50"/>
      <c r="E87" s="50"/>
      <c r="F87" s="50"/>
      <c r="G87" s="50"/>
      <c r="H87" s="50"/>
      <c r="I87" s="50"/>
    </row>
    <row r="88" spans="1:9">
      <c r="A88" s="50"/>
      <c r="B88" s="50"/>
      <c r="C88" s="50"/>
      <c r="D88" s="50"/>
      <c r="E88" s="50"/>
      <c r="F88" s="50"/>
      <c r="G88" s="50"/>
      <c r="H88" s="50"/>
      <c r="I88" s="50"/>
    </row>
    <row r="89" spans="1:9">
      <c r="A89" s="50"/>
      <c r="B89" s="50"/>
      <c r="C89" s="50"/>
      <c r="D89" s="50"/>
      <c r="E89" s="50"/>
      <c r="F89" s="50"/>
      <c r="G89" s="50"/>
      <c r="H89" s="50"/>
      <c r="I89" s="50"/>
    </row>
    <row r="90" spans="1:9">
      <c r="A90" s="50"/>
      <c r="B90" s="50"/>
      <c r="C90" s="50"/>
      <c r="D90" s="50"/>
      <c r="E90" s="50"/>
      <c r="F90" s="50"/>
      <c r="G90" s="50"/>
      <c r="H90" s="50"/>
      <c r="I90" s="50"/>
    </row>
    <row r="91" spans="1:9">
      <c r="A91" s="50"/>
      <c r="B91" s="50"/>
      <c r="C91" s="50"/>
      <c r="D91" s="50"/>
      <c r="E91" s="50"/>
      <c r="F91" s="50"/>
      <c r="G91" s="50"/>
      <c r="H91" s="50"/>
      <c r="I91" s="50"/>
    </row>
    <row r="92" spans="1:9">
      <c r="A92" s="50"/>
      <c r="B92" s="50"/>
      <c r="C92" s="50"/>
      <c r="D92" s="50"/>
      <c r="E92" s="50"/>
      <c r="F92" s="50"/>
      <c r="G92" s="50"/>
      <c r="H92" s="50"/>
      <c r="I92" s="50"/>
    </row>
    <row r="93" spans="1:9">
      <c r="A93" s="50"/>
      <c r="B93" s="50"/>
      <c r="C93" s="50"/>
      <c r="D93" s="50"/>
      <c r="E93" s="50"/>
      <c r="F93" s="50"/>
      <c r="G93" s="50"/>
      <c r="H93" s="50"/>
      <c r="I93" s="50"/>
    </row>
    <row r="94" spans="1:9">
      <c r="A94" s="50"/>
      <c r="B94" s="50"/>
      <c r="C94" s="50"/>
      <c r="D94" s="50"/>
      <c r="E94" s="50"/>
      <c r="F94" s="50"/>
      <c r="G94" s="50"/>
      <c r="H94" s="50"/>
      <c r="I94" s="50"/>
    </row>
    <row r="95" spans="1:9">
      <c r="A95" s="50"/>
      <c r="B95" s="50"/>
      <c r="C95" s="50"/>
      <c r="D95" s="50"/>
      <c r="E95" s="50"/>
      <c r="F95" s="50"/>
      <c r="G95" s="50"/>
      <c r="H95" s="50"/>
      <c r="I95" s="50"/>
    </row>
    <row r="96" spans="1:9">
      <c r="A96" s="50"/>
      <c r="B96" s="50"/>
      <c r="C96" s="50"/>
      <c r="D96" s="50"/>
      <c r="E96" s="50"/>
      <c r="F96" s="50"/>
      <c r="G96" s="50"/>
      <c r="H96" s="50"/>
      <c r="I96" s="50"/>
    </row>
    <row r="97" spans="1:9">
      <c r="A97" s="50"/>
      <c r="B97" s="50"/>
      <c r="C97" s="50"/>
      <c r="D97" s="50"/>
      <c r="E97" s="50"/>
      <c r="F97" s="50"/>
      <c r="G97" s="50"/>
      <c r="H97" s="50"/>
      <c r="I97" s="50"/>
    </row>
    <row r="98" spans="1:9">
      <c r="A98" s="50"/>
      <c r="B98" s="50"/>
      <c r="C98" s="50"/>
      <c r="D98" s="50"/>
      <c r="E98" s="50"/>
      <c r="F98" s="50"/>
      <c r="G98" s="50"/>
      <c r="H98" s="50"/>
      <c r="I98" s="50"/>
    </row>
    <row r="99" spans="1:9">
      <c r="A99" s="50"/>
      <c r="B99" s="50"/>
      <c r="C99" s="50"/>
      <c r="D99" s="50"/>
      <c r="E99" s="50"/>
      <c r="F99" s="50"/>
      <c r="G99" s="50"/>
      <c r="H99" s="50"/>
      <c r="I99" s="50"/>
    </row>
    <row r="100" spans="1:9">
      <c r="A100" s="50"/>
      <c r="B100" s="50"/>
      <c r="C100" s="50"/>
      <c r="D100" s="50"/>
      <c r="E100" s="50"/>
      <c r="F100" s="50"/>
      <c r="G100" s="50"/>
      <c r="H100" s="50"/>
      <c r="I100" s="50"/>
    </row>
    <row r="101" spans="1:9">
      <c r="A101" s="50"/>
      <c r="B101" s="50"/>
      <c r="C101" s="50"/>
      <c r="D101" s="50"/>
      <c r="E101" s="50"/>
      <c r="F101" s="50"/>
      <c r="G101" s="50"/>
      <c r="H101" s="50"/>
      <c r="I101" s="50"/>
    </row>
    <row r="102" spans="1:9">
      <c r="A102" s="50"/>
      <c r="B102" s="50"/>
      <c r="C102" s="50"/>
      <c r="D102" s="50"/>
      <c r="E102" s="50"/>
      <c r="F102" s="50"/>
      <c r="G102" s="50"/>
      <c r="H102" s="50"/>
      <c r="I102" s="50"/>
    </row>
    <row r="103" spans="1:9">
      <c r="A103" s="50"/>
      <c r="B103" s="50"/>
      <c r="C103" s="50"/>
      <c r="D103" s="50"/>
      <c r="E103" s="50"/>
      <c r="F103" s="50"/>
      <c r="G103" s="50"/>
      <c r="H103" s="50"/>
      <c r="I103" s="50"/>
    </row>
    <row r="104" spans="1:9">
      <c r="A104" s="50"/>
      <c r="B104" s="50"/>
      <c r="C104" s="50"/>
      <c r="D104" s="50"/>
      <c r="E104" s="50"/>
      <c r="F104" s="50"/>
      <c r="G104" s="50"/>
      <c r="H104" s="50"/>
      <c r="I104" s="50"/>
    </row>
    <row r="105" spans="1:9">
      <c r="A105" s="50"/>
      <c r="B105" s="50"/>
      <c r="C105" s="50"/>
      <c r="D105" s="50"/>
      <c r="E105" s="50"/>
      <c r="F105" s="50"/>
      <c r="G105" s="50"/>
      <c r="H105" s="50"/>
      <c r="I105" s="50"/>
    </row>
    <row r="106" spans="1:9">
      <c r="A106" s="50"/>
      <c r="B106" s="50"/>
      <c r="C106" s="50"/>
      <c r="D106" s="50"/>
      <c r="E106" s="50"/>
      <c r="F106" s="50"/>
      <c r="G106" s="50"/>
      <c r="H106" s="50"/>
      <c r="I106" s="50"/>
    </row>
    <row r="107" spans="1:9">
      <c r="A107" s="50"/>
      <c r="B107" s="50"/>
      <c r="C107" s="50"/>
      <c r="D107" s="50"/>
      <c r="E107" s="50"/>
      <c r="F107" s="50"/>
      <c r="G107" s="50"/>
      <c r="H107" s="50"/>
      <c r="I107" s="50"/>
    </row>
    <row r="108" spans="1:9">
      <c r="A108" s="50"/>
      <c r="B108" s="50"/>
      <c r="C108" s="50"/>
      <c r="D108" s="50"/>
      <c r="E108" s="50"/>
      <c r="F108" s="50"/>
      <c r="G108" s="50"/>
      <c r="H108" s="50"/>
      <c r="I108" s="50"/>
    </row>
    <row r="109" spans="1:9">
      <c r="A109" s="50"/>
      <c r="B109" s="50"/>
      <c r="C109" s="50"/>
      <c r="D109" s="50"/>
      <c r="E109" s="50"/>
      <c r="F109" s="50"/>
      <c r="G109" s="50"/>
      <c r="H109" s="50"/>
      <c r="I109" s="50"/>
    </row>
    <row r="110" spans="1:9">
      <c r="A110" s="50"/>
      <c r="B110" s="50"/>
      <c r="C110" s="50"/>
      <c r="D110" s="50"/>
      <c r="E110" s="50"/>
      <c r="F110" s="50"/>
      <c r="G110" s="50"/>
      <c r="H110" s="50"/>
      <c r="I110" s="50"/>
    </row>
    <row r="111" spans="1:9">
      <c r="A111" s="50"/>
      <c r="B111" s="50"/>
      <c r="C111" s="50"/>
      <c r="D111" s="50"/>
      <c r="E111" s="50"/>
      <c r="F111" s="50"/>
      <c r="G111" s="50"/>
      <c r="H111" s="50"/>
      <c r="I111" s="50"/>
    </row>
    <row r="112" spans="1:9">
      <c r="A112" s="50"/>
      <c r="B112" s="50"/>
      <c r="C112" s="50"/>
      <c r="D112" s="50"/>
      <c r="E112" s="50"/>
      <c r="F112" s="50"/>
      <c r="G112" s="50"/>
      <c r="H112" s="50"/>
      <c r="I112" s="50"/>
    </row>
    <row r="113" spans="1:9">
      <c r="A113" s="50"/>
      <c r="B113" s="50"/>
      <c r="C113" s="50"/>
      <c r="D113" s="50"/>
      <c r="E113" s="50"/>
      <c r="F113" s="50"/>
      <c r="G113" s="50"/>
      <c r="H113" s="50"/>
      <c r="I113" s="50"/>
    </row>
    <row r="114" spans="1:9">
      <c r="A114" s="50"/>
      <c r="B114" s="50"/>
      <c r="C114" s="50"/>
      <c r="D114" s="50"/>
      <c r="E114" s="50"/>
      <c r="F114" s="50"/>
      <c r="G114" s="50"/>
      <c r="H114" s="50"/>
      <c r="I114" s="50"/>
    </row>
    <row r="115" spans="1:9">
      <c r="A115" s="50"/>
      <c r="B115" s="50"/>
      <c r="C115" s="50"/>
      <c r="D115" s="50"/>
      <c r="E115" s="50"/>
      <c r="F115" s="50"/>
      <c r="G115" s="50"/>
      <c r="H115" s="50"/>
      <c r="I115" s="50"/>
    </row>
    <row r="116" spans="1:9">
      <c r="A116" s="50"/>
      <c r="B116" s="50"/>
      <c r="C116" s="50"/>
      <c r="D116" s="50"/>
      <c r="E116" s="50"/>
      <c r="F116" s="50"/>
      <c r="G116" s="50"/>
      <c r="H116" s="50"/>
      <c r="I116" s="50"/>
    </row>
    <row r="117" spans="1:9">
      <c r="A117" s="50"/>
      <c r="B117" s="50"/>
      <c r="C117" s="50"/>
      <c r="D117" s="50"/>
      <c r="E117" s="50"/>
      <c r="F117" s="50"/>
      <c r="G117" s="50"/>
      <c r="H117" s="50"/>
      <c r="I117" s="50"/>
    </row>
    <row r="118" spans="1:9">
      <c r="A118" s="50"/>
      <c r="B118" s="50"/>
      <c r="C118" s="50"/>
      <c r="D118" s="50"/>
      <c r="E118" s="50"/>
      <c r="F118" s="50"/>
      <c r="G118" s="50"/>
      <c r="H118" s="50"/>
      <c r="I118" s="50"/>
    </row>
    <row r="119" spans="1:9">
      <c r="A119" s="50"/>
      <c r="B119" s="50"/>
      <c r="C119" s="50"/>
      <c r="D119" s="50"/>
      <c r="E119" s="50"/>
      <c r="F119" s="50"/>
      <c r="G119" s="50"/>
      <c r="H119" s="50"/>
      <c r="I119" s="50"/>
    </row>
    <row r="120" spans="1:9">
      <c r="A120" s="50"/>
      <c r="B120" s="50"/>
      <c r="C120" s="50"/>
      <c r="D120" s="50"/>
      <c r="E120" s="50"/>
      <c r="F120" s="50"/>
      <c r="G120" s="50"/>
      <c r="H120" s="50"/>
      <c r="I120" s="50"/>
    </row>
    <row r="121" spans="1:9">
      <c r="A121" s="50"/>
      <c r="B121" s="50"/>
      <c r="C121" s="50"/>
      <c r="D121" s="50"/>
      <c r="E121" s="50"/>
      <c r="F121" s="50"/>
      <c r="G121" s="50"/>
      <c r="H121" s="50"/>
      <c r="I121" s="50"/>
    </row>
    <row r="122" spans="1:9">
      <c r="A122" s="50"/>
      <c r="B122" s="50"/>
      <c r="C122" s="50"/>
      <c r="D122" s="50"/>
      <c r="E122" s="50"/>
      <c r="F122" s="50"/>
      <c r="G122" s="50"/>
      <c r="H122" s="50"/>
      <c r="I122" s="50"/>
    </row>
    <row r="123" spans="1:9">
      <c r="A123" s="50"/>
      <c r="B123" s="50"/>
      <c r="C123" s="50"/>
      <c r="D123" s="50"/>
      <c r="E123" s="50"/>
      <c r="F123" s="50"/>
      <c r="G123" s="50"/>
      <c r="H123" s="50"/>
      <c r="I123" s="50"/>
    </row>
    <row r="124" spans="1:9">
      <c r="A124" s="50"/>
      <c r="B124" s="50"/>
      <c r="C124" s="50"/>
      <c r="D124" s="50"/>
      <c r="E124" s="50"/>
      <c r="F124" s="50"/>
      <c r="G124" s="50"/>
      <c r="H124" s="50"/>
      <c r="I124" s="50"/>
    </row>
    <row r="125" spans="1:9">
      <c r="A125" s="50"/>
      <c r="B125" s="50"/>
      <c r="C125" s="50"/>
      <c r="D125" s="50"/>
      <c r="E125" s="50"/>
      <c r="F125" s="50"/>
      <c r="G125" s="50"/>
      <c r="H125" s="50"/>
      <c r="I125" s="50"/>
    </row>
    <row r="126" spans="1:9">
      <c r="A126" s="50"/>
      <c r="B126" s="50"/>
      <c r="C126" s="50"/>
      <c r="D126" s="50"/>
      <c r="E126" s="50"/>
      <c r="F126" s="50"/>
      <c r="G126" s="50"/>
      <c r="H126" s="50"/>
      <c r="I126" s="50"/>
    </row>
    <row r="127" spans="1:9">
      <c r="A127" s="50"/>
      <c r="B127" s="50"/>
      <c r="C127" s="50"/>
      <c r="D127" s="50"/>
      <c r="E127" s="50"/>
      <c r="F127" s="50"/>
      <c r="G127" s="50"/>
      <c r="H127" s="50"/>
      <c r="I127" s="50"/>
    </row>
    <row r="128" spans="1:9">
      <c r="A128" s="50"/>
      <c r="B128" s="50"/>
      <c r="C128" s="50"/>
      <c r="D128" s="50"/>
      <c r="E128" s="50"/>
      <c r="F128" s="50"/>
      <c r="G128" s="50"/>
      <c r="H128" s="50"/>
      <c r="I128" s="50"/>
    </row>
    <row r="129" spans="1:9">
      <c r="A129" s="50"/>
      <c r="B129" s="50"/>
      <c r="C129" s="50"/>
      <c r="D129" s="50"/>
      <c r="E129" s="50"/>
      <c r="F129" s="50"/>
      <c r="G129" s="50"/>
      <c r="H129" s="50"/>
      <c r="I129" s="50"/>
    </row>
    <row r="130" spans="1:9">
      <c r="A130" s="50"/>
      <c r="B130" s="50"/>
      <c r="C130" s="50"/>
      <c r="D130" s="50"/>
      <c r="E130" s="50"/>
      <c r="F130" s="50"/>
      <c r="G130" s="50"/>
      <c r="H130" s="50"/>
      <c r="I130" s="50"/>
    </row>
    <row r="131" spans="1:9">
      <c r="A131" s="50"/>
      <c r="B131" s="50"/>
      <c r="C131" s="50"/>
      <c r="D131" s="50"/>
      <c r="E131" s="50"/>
      <c r="F131" s="50"/>
      <c r="G131" s="50"/>
      <c r="H131" s="50"/>
      <c r="I131" s="50"/>
    </row>
    <row r="132" spans="1:9">
      <c r="A132" s="50"/>
      <c r="B132" s="50"/>
      <c r="C132" s="50"/>
      <c r="D132" s="50"/>
      <c r="E132" s="50"/>
      <c r="F132" s="50"/>
      <c r="G132" s="50"/>
      <c r="H132" s="50"/>
      <c r="I132" s="50"/>
    </row>
    <row r="133" spans="1:9">
      <c r="A133" s="50"/>
      <c r="B133" s="50"/>
      <c r="C133" s="50"/>
      <c r="D133" s="50"/>
      <c r="E133" s="50"/>
      <c r="F133" s="50"/>
      <c r="G133" s="50"/>
      <c r="H133" s="50"/>
      <c r="I133" s="50"/>
    </row>
    <row r="134" spans="1:9">
      <c r="A134" s="50"/>
      <c r="B134" s="50"/>
      <c r="C134" s="50"/>
      <c r="D134" s="50"/>
      <c r="E134" s="50"/>
      <c r="F134" s="50"/>
      <c r="G134" s="50"/>
      <c r="H134" s="50"/>
      <c r="I134" s="50"/>
    </row>
    <row r="135" spans="1:9">
      <c r="A135" s="50"/>
      <c r="B135" s="50"/>
      <c r="C135" s="50"/>
      <c r="D135" s="50"/>
      <c r="E135" s="50"/>
      <c r="F135" s="50"/>
      <c r="G135" s="50"/>
      <c r="H135" s="50"/>
      <c r="I135" s="50"/>
    </row>
    <row r="136" spans="1:9">
      <c r="A136" s="50"/>
      <c r="B136" s="50"/>
      <c r="C136" s="50"/>
      <c r="D136" s="50"/>
      <c r="E136" s="50"/>
      <c r="F136" s="50"/>
      <c r="G136" s="50"/>
      <c r="H136" s="50"/>
      <c r="I136" s="50"/>
    </row>
    <row r="137" spans="1:9">
      <c r="A137" s="50"/>
      <c r="B137" s="50"/>
      <c r="C137" s="50"/>
      <c r="D137" s="50"/>
      <c r="E137" s="50"/>
      <c r="F137" s="50"/>
      <c r="G137" s="50"/>
      <c r="H137" s="50"/>
      <c r="I137" s="50"/>
    </row>
    <row r="138" spans="1:9">
      <c r="A138" s="50"/>
      <c r="B138" s="50"/>
      <c r="C138" s="50"/>
      <c r="D138" s="50"/>
      <c r="E138" s="50"/>
      <c r="F138" s="50"/>
      <c r="G138" s="50"/>
      <c r="H138" s="50"/>
      <c r="I138" s="50"/>
    </row>
    <row r="139" spans="1:9">
      <c r="A139" s="50"/>
      <c r="B139" s="50"/>
      <c r="C139" s="50"/>
      <c r="D139" s="50"/>
      <c r="E139" s="50"/>
      <c r="F139" s="50"/>
      <c r="G139" s="50"/>
      <c r="H139" s="50"/>
      <c r="I139" s="50"/>
    </row>
    <row r="140" spans="1:9">
      <c r="A140" s="50"/>
      <c r="B140" s="50"/>
      <c r="C140" s="50"/>
      <c r="D140" s="50"/>
      <c r="E140" s="50"/>
      <c r="F140" s="50"/>
      <c r="G140" s="50"/>
      <c r="H140" s="50"/>
      <c r="I140" s="50"/>
    </row>
    <row r="141" spans="1:9">
      <c r="A141" s="50"/>
      <c r="B141" s="50"/>
      <c r="C141" s="50"/>
      <c r="D141" s="50"/>
      <c r="E141" s="50"/>
      <c r="F141" s="50"/>
      <c r="G141" s="50"/>
      <c r="H141" s="50"/>
      <c r="I141" s="50"/>
    </row>
    <row r="142" spans="1:9">
      <c r="A142" s="50"/>
      <c r="B142" s="50"/>
      <c r="C142" s="50"/>
      <c r="D142" s="50"/>
      <c r="E142" s="50"/>
      <c r="F142" s="50"/>
      <c r="G142" s="50"/>
      <c r="H142" s="50"/>
      <c r="I142" s="50"/>
    </row>
    <row r="143" spans="1:9">
      <c r="A143" s="50"/>
      <c r="B143" s="50"/>
      <c r="C143" s="50"/>
      <c r="D143" s="50"/>
      <c r="E143" s="50"/>
      <c r="F143" s="50"/>
      <c r="G143" s="50"/>
      <c r="H143" s="50"/>
      <c r="I143" s="50"/>
    </row>
    <row r="144" spans="1:9">
      <c r="A144" s="50"/>
      <c r="B144" s="50"/>
      <c r="C144" s="50"/>
      <c r="D144" s="50"/>
      <c r="E144" s="50"/>
      <c r="F144" s="50"/>
      <c r="G144" s="50"/>
      <c r="H144" s="50"/>
      <c r="I144" s="50"/>
    </row>
    <row r="145" spans="1:9">
      <c r="A145" s="50"/>
      <c r="B145" s="50"/>
      <c r="C145" s="50"/>
      <c r="D145" s="50"/>
      <c r="E145" s="50"/>
      <c r="F145" s="50"/>
      <c r="G145" s="50"/>
      <c r="H145" s="50"/>
      <c r="I145" s="50"/>
    </row>
    <row r="146" spans="1:9">
      <c r="A146" s="50"/>
      <c r="B146" s="50"/>
      <c r="C146" s="50"/>
      <c r="D146" s="50"/>
      <c r="E146" s="50"/>
      <c r="F146" s="50"/>
      <c r="G146" s="50"/>
      <c r="H146" s="50"/>
      <c r="I146" s="50"/>
    </row>
    <row r="147" spans="1:9">
      <c r="A147" s="50"/>
      <c r="B147" s="50"/>
      <c r="C147" s="50"/>
      <c r="D147" s="50"/>
      <c r="E147" s="50"/>
      <c r="F147" s="50"/>
      <c r="G147" s="50"/>
      <c r="H147" s="50"/>
      <c r="I147" s="50"/>
    </row>
    <row r="148" spans="1:9">
      <c r="A148" s="50"/>
      <c r="B148" s="50"/>
      <c r="C148" s="50"/>
      <c r="D148" s="50"/>
      <c r="E148" s="50"/>
      <c r="F148" s="50"/>
      <c r="G148" s="50"/>
      <c r="H148" s="50"/>
      <c r="I148" s="50"/>
    </row>
    <row r="149" spans="1:9">
      <c r="A149" s="50"/>
      <c r="B149" s="50"/>
      <c r="C149" s="50"/>
      <c r="D149" s="50"/>
      <c r="E149" s="50"/>
      <c r="F149" s="50"/>
      <c r="G149" s="50"/>
      <c r="H149" s="50"/>
      <c r="I149" s="50"/>
    </row>
    <row r="150" spans="1:9">
      <c r="A150" s="50"/>
      <c r="B150" s="50"/>
      <c r="C150" s="50"/>
      <c r="D150" s="50"/>
      <c r="E150" s="50"/>
      <c r="F150" s="50"/>
      <c r="G150" s="50"/>
      <c r="H150" s="50"/>
      <c r="I150" s="50"/>
    </row>
    <row r="151" spans="1:9">
      <c r="A151" s="50"/>
      <c r="B151" s="50"/>
      <c r="C151" s="50"/>
      <c r="D151" s="50"/>
      <c r="E151" s="50"/>
      <c r="F151" s="50"/>
      <c r="G151" s="50"/>
      <c r="H151" s="50"/>
      <c r="I151" s="50"/>
    </row>
    <row r="152" spans="1:9">
      <c r="A152" s="50"/>
      <c r="B152" s="50"/>
      <c r="C152" s="50"/>
      <c r="D152" s="50"/>
      <c r="E152" s="50"/>
      <c r="F152" s="50"/>
      <c r="G152" s="50"/>
      <c r="H152" s="50"/>
      <c r="I152" s="50"/>
    </row>
    <row r="153" spans="1:9">
      <c r="A153" s="50"/>
      <c r="B153" s="50"/>
      <c r="C153" s="50"/>
      <c r="D153" s="50"/>
      <c r="E153" s="50"/>
      <c r="F153" s="50"/>
      <c r="G153" s="50"/>
      <c r="H153" s="50"/>
      <c r="I153" s="50"/>
    </row>
    <row r="154" spans="1:9">
      <c r="A154" s="50"/>
      <c r="B154" s="50"/>
      <c r="C154" s="50"/>
      <c r="D154" s="50"/>
      <c r="E154" s="50"/>
      <c r="F154" s="50"/>
      <c r="G154" s="50"/>
      <c r="H154" s="50"/>
      <c r="I154" s="50"/>
    </row>
    <row r="155" spans="1:9">
      <c r="A155" s="50"/>
      <c r="B155" s="50"/>
      <c r="C155" s="50"/>
      <c r="D155" s="50"/>
      <c r="E155" s="50"/>
      <c r="F155" s="50"/>
      <c r="G155" s="50"/>
      <c r="H155" s="50"/>
      <c r="I155" s="50"/>
    </row>
    <row r="156" spans="1:9">
      <c r="A156" s="50"/>
      <c r="B156" s="50"/>
      <c r="C156" s="50"/>
      <c r="D156" s="50"/>
      <c r="E156" s="50"/>
      <c r="F156" s="50"/>
      <c r="G156" s="50"/>
      <c r="H156" s="50"/>
      <c r="I156" s="50"/>
    </row>
    <row r="157" spans="1:9">
      <c r="A157" s="50"/>
      <c r="B157" s="50"/>
      <c r="C157" s="50"/>
      <c r="D157" s="50"/>
      <c r="E157" s="50"/>
      <c r="F157" s="50"/>
      <c r="G157" s="50"/>
      <c r="H157" s="50"/>
      <c r="I157" s="50"/>
    </row>
    <row r="158" spans="1:9">
      <c r="A158" s="50"/>
      <c r="B158" s="50"/>
      <c r="C158" s="50"/>
      <c r="D158" s="50"/>
      <c r="E158" s="50"/>
      <c r="F158" s="50"/>
      <c r="G158" s="50"/>
      <c r="H158" s="50"/>
      <c r="I158" s="50"/>
    </row>
    <row r="159" spans="1:9">
      <c r="A159" s="50"/>
      <c r="B159" s="50"/>
      <c r="C159" s="50"/>
      <c r="D159" s="50"/>
      <c r="E159" s="50"/>
      <c r="F159" s="50"/>
      <c r="G159" s="50"/>
      <c r="H159" s="50"/>
      <c r="I159" s="50"/>
    </row>
    <row r="160" spans="1:9">
      <c r="A160" s="50"/>
      <c r="B160" s="50"/>
      <c r="C160" s="50"/>
      <c r="D160" s="50"/>
      <c r="E160" s="50"/>
      <c r="F160" s="50"/>
      <c r="G160" s="50"/>
      <c r="H160" s="50"/>
      <c r="I160" s="50"/>
    </row>
    <row r="161" spans="1:9">
      <c r="A161" s="50"/>
      <c r="B161" s="50"/>
      <c r="C161" s="50"/>
      <c r="D161" s="50"/>
      <c r="E161" s="50"/>
      <c r="F161" s="50"/>
      <c r="G161" s="50"/>
      <c r="H161" s="50"/>
      <c r="I161" s="50"/>
    </row>
    <row r="162" spans="1:9">
      <c r="A162" s="50"/>
      <c r="B162" s="50"/>
      <c r="C162" s="50"/>
      <c r="D162" s="50"/>
      <c r="E162" s="50"/>
      <c r="F162" s="50"/>
      <c r="G162" s="50"/>
      <c r="H162" s="50"/>
      <c r="I162" s="50"/>
    </row>
    <row r="163" spans="1:9">
      <c r="A163" s="50"/>
      <c r="B163" s="50"/>
      <c r="C163" s="50"/>
      <c r="D163" s="50"/>
      <c r="E163" s="50"/>
      <c r="F163" s="50"/>
      <c r="G163" s="50"/>
      <c r="H163" s="50"/>
      <c r="I163" s="50"/>
    </row>
    <row r="164" spans="1:9">
      <c r="A164" s="50"/>
      <c r="B164" s="50"/>
      <c r="C164" s="50"/>
      <c r="D164" s="50"/>
      <c r="E164" s="50"/>
      <c r="F164" s="50"/>
      <c r="G164" s="50"/>
      <c r="H164" s="50"/>
      <c r="I164" s="50"/>
    </row>
    <row r="165" spans="1:9">
      <c r="A165" s="50"/>
      <c r="B165" s="50"/>
      <c r="C165" s="50"/>
      <c r="D165" s="50"/>
      <c r="E165" s="50"/>
      <c r="F165" s="50"/>
      <c r="G165" s="50"/>
      <c r="H165" s="50"/>
      <c r="I165" s="50"/>
    </row>
    <row r="166" spans="1:9">
      <c r="A166" s="50"/>
      <c r="B166" s="50"/>
      <c r="C166" s="50"/>
      <c r="D166" s="50"/>
      <c r="E166" s="50"/>
      <c r="F166" s="50"/>
      <c r="G166" s="50"/>
      <c r="H166" s="50"/>
      <c r="I166" s="50"/>
    </row>
    <row r="167" spans="1:9">
      <c r="A167" s="50"/>
      <c r="B167" s="50"/>
      <c r="C167" s="50"/>
      <c r="D167" s="50"/>
      <c r="E167" s="50"/>
      <c r="F167" s="50"/>
      <c r="G167" s="50"/>
      <c r="H167" s="50"/>
      <c r="I167" s="50"/>
    </row>
    <row r="168" spans="1:9">
      <c r="A168" s="50"/>
      <c r="B168" s="50"/>
      <c r="C168" s="50"/>
      <c r="D168" s="50"/>
      <c r="E168" s="50"/>
      <c r="F168" s="50"/>
      <c r="G168" s="50"/>
      <c r="H168" s="50"/>
      <c r="I168" s="50"/>
    </row>
    <row r="169" spans="1:9">
      <c r="A169" s="50"/>
      <c r="B169" s="50"/>
      <c r="C169" s="50"/>
      <c r="D169" s="50"/>
      <c r="E169" s="50"/>
      <c r="F169" s="50"/>
      <c r="G169" s="50"/>
      <c r="H169" s="50"/>
      <c r="I169" s="50"/>
    </row>
    <row r="170" spans="1:9">
      <c r="A170" s="50"/>
      <c r="B170" s="50"/>
      <c r="C170" s="50"/>
      <c r="D170" s="50"/>
      <c r="E170" s="50"/>
      <c r="F170" s="50"/>
      <c r="G170" s="50"/>
      <c r="H170" s="50"/>
      <c r="I170" s="50"/>
    </row>
    <row r="171" spans="1:9">
      <c r="A171" s="50"/>
      <c r="B171" s="50"/>
      <c r="C171" s="50"/>
      <c r="D171" s="50"/>
      <c r="E171" s="50"/>
      <c r="F171" s="50"/>
      <c r="G171" s="50"/>
      <c r="H171" s="50"/>
      <c r="I171" s="50"/>
    </row>
    <row r="172" spans="1:9">
      <c r="A172" s="50"/>
      <c r="B172" s="50"/>
      <c r="C172" s="50"/>
      <c r="D172" s="50"/>
      <c r="E172" s="50"/>
      <c r="F172" s="50"/>
      <c r="G172" s="50"/>
      <c r="H172" s="50"/>
      <c r="I172" s="50"/>
    </row>
    <row r="173" spans="1:9">
      <c r="A173" s="50"/>
      <c r="B173" s="50"/>
      <c r="C173" s="50"/>
      <c r="D173" s="50"/>
      <c r="E173" s="50"/>
      <c r="F173" s="50"/>
      <c r="G173" s="50"/>
      <c r="H173" s="50"/>
      <c r="I173" s="50"/>
    </row>
    <row r="174" spans="1:9">
      <c r="A174" s="50"/>
      <c r="B174" s="50"/>
      <c r="C174" s="50"/>
      <c r="D174" s="50"/>
      <c r="E174" s="50"/>
      <c r="F174" s="50"/>
      <c r="G174" s="50"/>
      <c r="H174" s="50"/>
      <c r="I174" s="50"/>
    </row>
    <row r="175" spans="1:9">
      <c r="A175" s="50"/>
      <c r="B175" s="50"/>
      <c r="C175" s="50"/>
      <c r="D175" s="50"/>
      <c r="E175" s="50"/>
      <c r="F175" s="50"/>
      <c r="G175" s="50"/>
      <c r="H175" s="50"/>
      <c r="I175" s="50"/>
    </row>
    <row r="176" spans="1:9">
      <c r="A176" s="50"/>
      <c r="B176" s="50"/>
      <c r="C176" s="50"/>
      <c r="D176" s="50"/>
      <c r="E176" s="50"/>
      <c r="F176" s="50"/>
      <c r="G176" s="50"/>
      <c r="H176" s="50"/>
      <c r="I176" s="50"/>
    </row>
    <row r="177" spans="1:9">
      <c r="A177" s="50"/>
      <c r="B177" s="50"/>
      <c r="C177" s="50"/>
      <c r="D177" s="50"/>
      <c r="E177" s="50"/>
      <c r="F177" s="50"/>
      <c r="G177" s="50"/>
      <c r="H177" s="50"/>
      <c r="I177" s="50"/>
    </row>
    <row r="178" spans="1:9">
      <c r="A178" s="50"/>
      <c r="B178" s="50"/>
      <c r="C178" s="50"/>
      <c r="D178" s="50"/>
      <c r="E178" s="50"/>
      <c r="F178" s="50"/>
      <c r="G178" s="50"/>
      <c r="H178" s="50"/>
      <c r="I178" s="50"/>
    </row>
    <row r="179" spans="1:9">
      <c r="A179" s="50"/>
      <c r="B179" s="50"/>
      <c r="C179" s="50"/>
      <c r="D179" s="50"/>
      <c r="E179" s="50"/>
      <c r="F179" s="50"/>
      <c r="G179" s="50"/>
      <c r="H179" s="50"/>
      <c r="I179" s="50"/>
    </row>
    <row r="180" spans="1:9">
      <c r="A180" s="50"/>
      <c r="B180" s="50"/>
      <c r="C180" s="50"/>
      <c r="D180" s="50"/>
      <c r="E180" s="50"/>
      <c r="F180" s="50"/>
      <c r="G180" s="50"/>
      <c r="H180" s="50"/>
      <c r="I180" s="50"/>
    </row>
    <row r="181" spans="1:9">
      <c r="A181" s="50"/>
      <c r="B181" s="50"/>
      <c r="C181" s="50"/>
      <c r="D181" s="50"/>
      <c r="E181" s="50"/>
      <c r="F181" s="50"/>
      <c r="G181" s="50"/>
      <c r="H181" s="50"/>
      <c r="I181" s="50"/>
    </row>
    <row r="182" spans="1:9">
      <c r="A182" s="50"/>
      <c r="B182" s="50"/>
      <c r="C182" s="50"/>
      <c r="D182" s="50"/>
      <c r="E182" s="50"/>
      <c r="F182" s="50"/>
      <c r="G182" s="50"/>
      <c r="H182" s="50"/>
      <c r="I182" s="50"/>
    </row>
    <row r="183" spans="1:9">
      <c r="A183" s="50"/>
      <c r="B183" s="50"/>
      <c r="C183" s="50"/>
      <c r="D183" s="50"/>
      <c r="E183" s="50"/>
      <c r="F183" s="50"/>
      <c r="G183" s="50"/>
      <c r="H183" s="50"/>
      <c r="I183" s="50"/>
    </row>
    <row r="184" spans="1:9">
      <c r="A184" s="50"/>
      <c r="B184" s="50"/>
      <c r="C184" s="50"/>
      <c r="D184" s="50"/>
      <c r="E184" s="50"/>
      <c r="F184" s="50"/>
      <c r="G184" s="50"/>
      <c r="H184" s="50"/>
      <c r="I184" s="50"/>
    </row>
    <row r="185" spans="1:9">
      <c r="A185" s="50"/>
      <c r="B185" s="50"/>
      <c r="C185" s="50"/>
      <c r="D185" s="50"/>
      <c r="E185" s="50"/>
      <c r="F185" s="50"/>
      <c r="G185" s="50"/>
      <c r="H185" s="50"/>
      <c r="I185" s="50"/>
    </row>
    <row r="186" spans="1:9">
      <c r="A186" s="50"/>
      <c r="B186" s="50"/>
      <c r="C186" s="50"/>
      <c r="D186" s="50"/>
      <c r="E186" s="50"/>
      <c r="F186" s="50"/>
      <c r="G186" s="50"/>
      <c r="H186" s="50"/>
      <c r="I186" s="50"/>
    </row>
    <row r="187" spans="1:9">
      <c r="A187" s="50"/>
      <c r="B187" s="50"/>
      <c r="C187" s="50"/>
      <c r="D187" s="50"/>
      <c r="E187" s="50"/>
      <c r="F187" s="50"/>
      <c r="G187" s="50"/>
      <c r="H187" s="50"/>
      <c r="I187" s="50"/>
    </row>
    <row r="188" spans="1:9">
      <c r="A188" s="50"/>
      <c r="B188" s="50"/>
      <c r="C188" s="50"/>
      <c r="D188" s="50"/>
      <c r="E188" s="50"/>
      <c r="F188" s="50"/>
      <c r="G188" s="50"/>
      <c r="H188" s="50"/>
      <c r="I188" s="50"/>
    </row>
    <row r="189" spans="1:9">
      <c r="A189" s="50"/>
      <c r="B189" s="50"/>
      <c r="C189" s="50"/>
      <c r="D189" s="50"/>
      <c r="E189" s="50"/>
      <c r="F189" s="50"/>
      <c r="G189" s="50"/>
      <c r="H189" s="50"/>
      <c r="I189" s="50"/>
    </row>
    <row r="190" spans="1:9">
      <c r="A190" s="50"/>
      <c r="B190" s="50"/>
      <c r="C190" s="50"/>
      <c r="D190" s="50"/>
      <c r="E190" s="50"/>
      <c r="F190" s="50"/>
      <c r="G190" s="50"/>
      <c r="H190" s="50"/>
      <c r="I190" s="50"/>
    </row>
    <row r="191" spans="1:9">
      <c r="A191" s="50"/>
      <c r="B191" s="50"/>
      <c r="C191" s="50"/>
      <c r="D191" s="50"/>
      <c r="E191" s="50"/>
      <c r="F191" s="50"/>
      <c r="G191" s="50"/>
      <c r="H191" s="50"/>
      <c r="I191" s="50"/>
    </row>
    <row r="192" spans="1:9">
      <c r="A192" s="50"/>
      <c r="B192" s="50"/>
      <c r="C192" s="50"/>
      <c r="D192" s="50"/>
      <c r="E192" s="50"/>
      <c r="F192" s="50"/>
      <c r="G192" s="50"/>
      <c r="H192" s="50"/>
      <c r="I192" s="50"/>
    </row>
    <row r="193" spans="1:9">
      <c r="A193" s="50"/>
      <c r="B193" s="50"/>
      <c r="C193" s="50"/>
      <c r="D193" s="50"/>
      <c r="E193" s="50"/>
      <c r="F193" s="50"/>
      <c r="G193" s="50"/>
      <c r="H193" s="50"/>
      <c r="I193" s="50"/>
    </row>
    <row r="194" spans="1:9">
      <c r="A194" s="50"/>
      <c r="B194" s="50"/>
      <c r="C194" s="50"/>
      <c r="D194" s="50"/>
      <c r="E194" s="50"/>
      <c r="F194" s="50"/>
      <c r="G194" s="50"/>
      <c r="H194" s="50"/>
      <c r="I194" s="50"/>
    </row>
    <row r="195" spans="1:9">
      <c r="A195" s="50"/>
      <c r="B195" s="50"/>
      <c r="C195" s="50"/>
      <c r="D195" s="50"/>
      <c r="E195" s="50"/>
      <c r="F195" s="50"/>
      <c r="G195" s="50"/>
      <c r="H195" s="50"/>
      <c r="I195" s="50"/>
    </row>
    <row r="196" spans="1:9">
      <c r="A196" s="50"/>
      <c r="B196" s="50"/>
      <c r="C196" s="50"/>
      <c r="D196" s="50"/>
      <c r="E196" s="50"/>
      <c r="F196" s="50"/>
      <c r="G196" s="50"/>
      <c r="H196" s="50"/>
      <c r="I196" s="50"/>
    </row>
    <row r="197" spans="1:9">
      <c r="A197" s="50"/>
      <c r="B197" s="50"/>
      <c r="C197" s="50"/>
      <c r="D197" s="50"/>
      <c r="E197" s="50"/>
      <c r="F197" s="50"/>
      <c r="G197" s="50"/>
      <c r="H197" s="50"/>
      <c r="I197" s="50"/>
    </row>
    <row r="198" spans="1:9">
      <c r="A198" s="50"/>
      <c r="B198" s="50"/>
      <c r="C198" s="50"/>
      <c r="D198" s="50"/>
      <c r="E198" s="50"/>
      <c r="F198" s="50"/>
      <c r="G198" s="50"/>
      <c r="H198" s="50"/>
      <c r="I198" s="50"/>
    </row>
    <row r="199" spans="1:9">
      <c r="A199" s="50"/>
      <c r="B199" s="50"/>
      <c r="C199" s="50"/>
      <c r="D199" s="50"/>
      <c r="E199" s="50"/>
      <c r="F199" s="50"/>
      <c r="G199" s="50"/>
      <c r="H199" s="50"/>
      <c r="I199" s="50"/>
    </row>
    <row r="200" spans="1:9">
      <c r="A200" s="50"/>
      <c r="B200" s="50"/>
      <c r="C200" s="50"/>
      <c r="D200" s="50"/>
      <c r="E200" s="50"/>
      <c r="F200" s="50"/>
      <c r="G200" s="50"/>
      <c r="H200" s="50"/>
      <c r="I200" s="50"/>
    </row>
    <row r="201" spans="1:9">
      <c r="A201" s="50"/>
      <c r="B201" s="50"/>
      <c r="C201" s="50"/>
      <c r="D201" s="50"/>
      <c r="E201" s="50"/>
      <c r="F201" s="50"/>
      <c r="G201" s="50"/>
      <c r="H201" s="50"/>
      <c r="I201" s="50"/>
    </row>
    <row r="202" spans="1:9">
      <c r="A202" s="50"/>
      <c r="B202" s="50"/>
      <c r="C202" s="50"/>
      <c r="D202" s="50"/>
      <c r="E202" s="50"/>
      <c r="F202" s="50"/>
      <c r="G202" s="50"/>
      <c r="H202" s="50"/>
      <c r="I202" s="50"/>
    </row>
    <row r="203" spans="1:9">
      <c r="A203" s="50"/>
      <c r="B203" s="50"/>
      <c r="C203" s="50"/>
      <c r="D203" s="50"/>
      <c r="E203" s="50"/>
      <c r="F203" s="50"/>
      <c r="G203" s="50"/>
      <c r="H203" s="50"/>
      <c r="I203" s="50"/>
    </row>
    <row r="204" spans="1:9">
      <c r="A204" s="50"/>
      <c r="B204" s="50"/>
      <c r="C204" s="50"/>
      <c r="D204" s="50"/>
      <c r="E204" s="50"/>
      <c r="F204" s="50"/>
      <c r="G204" s="50"/>
      <c r="H204" s="50"/>
      <c r="I204" s="50"/>
    </row>
    <row r="205" spans="1:9">
      <c r="A205" s="50"/>
      <c r="B205" s="50"/>
      <c r="C205" s="50"/>
      <c r="D205" s="50"/>
      <c r="E205" s="50"/>
      <c r="F205" s="50"/>
      <c r="G205" s="50"/>
      <c r="H205" s="50"/>
      <c r="I205" s="50"/>
    </row>
    <row r="206" spans="1:9">
      <c r="A206" s="50"/>
      <c r="B206" s="50"/>
      <c r="C206" s="50"/>
      <c r="D206" s="50"/>
      <c r="E206" s="50"/>
      <c r="F206" s="50"/>
      <c r="G206" s="50"/>
      <c r="H206" s="50"/>
      <c r="I206" s="50"/>
    </row>
    <row r="207" spans="1:9">
      <c r="A207" s="50"/>
      <c r="B207" s="50"/>
      <c r="C207" s="50"/>
      <c r="D207" s="50"/>
      <c r="E207" s="50"/>
      <c r="F207" s="50"/>
      <c r="G207" s="50"/>
      <c r="H207" s="50"/>
      <c r="I207" s="50"/>
    </row>
    <row r="208" spans="1:9">
      <c r="A208" s="50"/>
      <c r="B208" s="50"/>
      <c r="C208" s="50"/>
      <c r="D208" s="50"/>
      <c r="E208" s="50"/>
      <c r="F208" s="50"/>
      <c r="G208" s="50"/>
      <c r="H208" s="50"/>
      <c r="I208" s="50"/>
    </row>
    <row r="209" spans="1:9">
      <c r="A209" s="50"/>
      <c r="B209" s="50"/>
      <c r="C209" s="50"/>
      <c r="D209" s="50"/>
      <c r="E209" s="50"/>
      <c r="F209" s="50"/>
      <c r="G209" s="50"/>
      <c r="H209" s="50"/>
      <c r="I209" s="50"/>
    </row>
    <row r="210" spans="1:9">
      <c r="A210" s="50"/>
      <c r="B210" s="50"/>
      <c r="C210" s="50"/>
      <c r="D210" s="50"/>
      <c r="E210" s="50"/>
      <c r="F210" s="50"/>
      <c r="G210" s="50"/>
      <c r="H210" s="50"/>
      <c r="I210" s="50"/>
    </row>
    <row r="211" spans="1:9">
      <c r="A211" s="50"/>
      <c r="B211" s="50"/>
      <c r="C211" s="50"/>
      <c r="D211" s="50"/>
      <c r="E211" s="50"/>
      <c r="F211" s="50"/>
      <c r="G211" s="50"/>
      <c r="H211" s="50"/>
      <c r="I211" s="50"/>
    </row>
    <row r="212" spans="1:9">
      <c r="A212" s="50"/>
      <c r="B212" s="50"/>
      <c r="C212" s="50"/>
      <c r="D212" s="50"/>
      <c r="E212" s="50"/>
      <c r="F212" s="50"/>
      <c r="G212" s="50"/>
      <c r="H212" s="50"/>
      <c r="I212" s="50"/>
    </row>
    <row r="213" spans="1:9">
      <c r="A213" s="50"/>
      <c r="B213" s="50"/>
      <c r="C213" s="50"/>
      <c r="D213" s="50"/>
      <c r="E213" s="50"/>
      <c r="F213" s="50"/>
      <c r="G213" s="50"/>
      <c r="H213" s="50"/>
      <c r="I213" s="50"/>
    </row>
    <row r="214" spans="1:9">
      <c r="A214" s="50"/>
      <c r="B214" s="50"/>
      <c r="C214" s="50"/>
      <c r="D214" s="50"/>
      <c r="E214" s="50"/>
      <c r="F214" s="50"/>
      <c r="G214" s="50"/>
      <c r="H214" s="50"/>
      <c r="I214" s="50"/>
    </row>
    <row r="215" spans="1:9">
      <c r="A215" s="50"/>
      <c r="B215" s="50"/>
      <c r="C215" s="50"/>
      <c r="D215" s="50"/>
      <c r="E215" s="50"/>
      <c r="F215" s="50"/>
      <c r="G215" s="50"/>
      <c r="H215" s="50"/>
      <c r="I215" s="50"/>
    </row>
    <row r="216" spans="1:9">
      <c r="A216" s="50"/>
      <c r="B216" s="50"/>
      <c r="C216" s="50"/>
      <c r="D216" s="50"/>
      <c r="E216" s="50"/>
      <c r="F216" s="50"/>
      <c r="G216" s="50"/>
      <c r="H216" s="50"/>
      <c r="I216" s="50"/>
    </row>
    <row r="217" spans="1:9">
      <c r="A217" s="50"/>
      <c r="B217" s="50"/>
      <c r="C217" s="50"/>
      <c r="D217" s="50"/>
      <c r="E217" s="50"/>
      <c r="F217" s="50"/>
      <c r="G217" s="50"/>
      <c r="H217" s="50"/>
      <c r="I217" s="50"/>
    </row>
    <row r="218" spans="1:9">
      <c r="A218" s="50"/>
      <c r="B218" s="50"/>
      <c r="C218" s="50"/>
      <c r="D218" s="50"/>
      <c r="E218" s="50"/>
      <c r="F218" s="50"/>
      <c r="G218" s="50"/>
      <c r="H218" s="50"/>
      <c r="I218" s="50"/>
    </row>
    <row r="219" spans="1:9">
      <c r="A219" s="50"/>
      <c r="B219" s="50"/>
      <c r="C219" s="50"/>
      <c r="D219" s="50"/>
      <c r="E219" s="50"/>
      <c r="F219" s="50"/>
      <c r="G219" s="50"/>
      <c r="H219" s="50"/>
      <c r="I219" s="50"/>
    </row>
    <row r="220" spans="1:9">
      <c r="A220" s="50"/>
      <c r="B220" s="50"/>
      <c r="C220" s="50"/>
      <c r="D220" s="50"/>
      <c r="E220" s="50"/>
      <c r="F220" s="50"/>
      <c r="G220" s="50"/>
      <c r="H220" s="50"/>
      <c r="I220" s="50"/>
    </row>
    <row r="221" spans="1:9">
      <c r="A221" s="50"/>
      <c r="B221" s="50"/>
      <c r="C221" s="50"/>
      <c r="D221" s="50"/>
      <c r="E221" s="50"/>
      <c r="F221" s="50"/>
      <c r="G221" s="50"/>
      <c r="H221" s="50"/>
      <c r="I221" s="50"/>
    </row>
    <row r="222" spans="1:9">
      <c r="A222" s="50"/>
      <c r="B222" s="50"/>
      <c r="C222" s="50"/>
      <c r="D222" s="50"/>
      <c r="E222" s="50"/>
      <c r="F222" s="50"/>
      <c r="G222" s="50"/>
      <c r="H222" s="50"/>
      <c r="I222" s="50"/>
    </row>
    <row r="223" spans="1:9">
      <c r="A223" s="50"/>
      <c r="B223" s="50"/>
      <c r="C223" s="50"/>
      <c r="D223" s="50"/>
      <c r="E223" s="50"/>
      <c r="F223" s="50"/>
      <c r="G223" s="50"/>
      <c r="H223" s="50"/>
      <c r="I223" s="50"/>
    </row>
    <row r="224" spans="1:9">
      <c r="A224" s="50"/>
      <c r="B224" s="50"/>
      <c r="C224" s="50"/>
      <c r="D224" s="50"/>
      <c r="E224" s="50"/>
      <c r="F224" s="50"/>
      <c r="G224" s="50"/>
      <c r="H224" s="50"/>
      <c r="I224" s="50"/>
    </row>
  </sheetData>
  <sheetProtection algorithmName="SHA-512" hashValue="P+P4APlhWQgtpGsi13okBiR9fn6qK1QazQEOCZ5wkU9GK01tSQrVZr6sj9x6lUSCSGWKAgIrW9MC+WCi4r1OkQ==" saltValue="l4Sw8oMz6wD3JE/LIHo7/Q==" spinCount="100000" sheet="1" objects="1" scenarios="1"/>
  <mergeCells count="10">
    <mergeCell ref="G7:I7"/>
    <mergeCell ref="B1:F1"/>
    <mergeCell ref="B3:F3"/>
    <mergeCell ref="B2:F2"/>
    <mergeCell ref="A24:I24"/>
    <mergeCell ref="A10:I10"/>
    <mergeCell ref="D21:E21"/>
    <mergeCell ref="G21:I21"/>
    <mergeCell ref="D19:E19"/>
    <mergeCell ref="G19:I19"/>
  </mergeCells>
  <conditionalFormatting sqref="I27">
    <cfRule type="containsText" dxfId="30" priority="8" operator="containsText" text="WEITER">
      <formula>NOT(ISERROR(SEARCH("WEITER",I27)))</formula>
    </cfRule>
  </conditionalFormatting>
  <conditionalFormatting sqref="I29">
    <cfRule type="containsText" dxfId="29" priority="5" operator="containsText" text="WEITER">
      <formula>NOT(ISERROR(SEARCH("WEITER",I29)))</formula>
    </cfRule>
  </conditionalFormatting>
  <conditionalFormatting sqref="G13:I21">
    <cfRule type="expression" dxfId="28" priority="3">
      <formula>$A$25=1</formula>
    </cfRule>
  </conditionalFormatting>
  <dataValidations count="1">
    <dataValidation type="textLength" allowBlank="1" showInputMessage="1" showErrorMessage="1" error="Bitte verwenden Sie nicht mehr als 199 Zeichen / S.v.p. utilisez 199 caractères au maximum" sqref="A17">
      <formula1>0</formula1>
      <formula2>199</formula2>
    </dataValidation>
  </dataValidations>
  <hyperlinks>
    <hyperlink ref="G26" location="'42t'!A1" display="'42t'!A1"/>
    <hyperlink ref="G28" location="'43t'!A1" display="'43t'!A1"/>
    <hyperlink ref="G30" location="'5'!A1" display="'5'!A1"/>
    <hyperlink ref="C26" location="'40'!$A$1" display="'40'!$A$1"/>
  </hyperlinks>
  <pageMargins left="0.74803149606299213" right="0.74803149606299213" top="0.39370078740157483" bottom="0.19685039370078741" header="0.51181102362204722" footer="0.51181102362204722"/>
  <pageSetup paperSize="9" scale="88"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8CC614B9-FC7D-0A48-8563-515BF01548A5}">
            <xm:f>txt!$B$222</xm:f>
            <x14:dxf>
              <font>
                <u/>
                <color rgb="FF0000FF"/>
              </font>
              <fill>
                <patternFill patternType="solid">
                  <fgColor indexed="64"/>
                  <bgColor rgb="FFFFFF00"/>
                </patternFill>
              </fill>
            </x14:dxf>
          </x14:cfRule>
          <xm:sqref>G26:G30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G17</xm:sqref>
        </x14:dataValidation>
      </x14:dataValidations>
    </ex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tabColor theme="9" tint="0.39997558519241921"/>
    <pageSetUpPr fitToPage="1"/>
  </sheetPr>
  <dimension ref="A1:L123"/>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6" width="8.6640625" style="50" customWidth="1"/>
    <col min="7" max="7" width="2.6640625" style="50" customWidth="1"/>
    <col min="8" max="11" width="8.6640625" style="50" customWidth="1"/>
    <col min="12" max="16384" width="10.6640625" style="50"/>
  </cols>
  <sheetData>
    <row r="1" spans="1:12" ht="15" customHeight="1">
      <c r="B1" s="366" t="str">
        <f>txt!B42</f>
        <v>Preiserhebung</v>
      </c>
      <c r="C1" s="366"/>
      <c r="D1" s="366"/>
      <c r="E1" s="366"/>
      <c r="F1" s="366"/>
      <c r="G1" s="366"/>
      <c r="K1" s="51" t="str">
        <f>txt!B175</f>
        <v>Eidg. Departement des Innern</v>
      </c>
    </row>
    <row r="2" spans="1:12" ht="15" customHeight="1">
      <c r="B2" s="366" t="str">
        <f>txt!B43</f>
        <v>Produzentenpreisindex</v>
      </c>
      <c r="C2" s="366"/>
      <c r="D2" s="366"/>
      <c r="E2" s="366"/>
      <c r="F2" s="366"/>
      <c r="G2" s="366"/>
      <c r="K2" s="51" t="str">
        <f>txt!B176</f>
        <v>Bundesamt für Statistik BFS</v>
      </c>
    </row>
    <row r="3" spans="1:12" ht="15" customHeight="1">
      <c r="B3" s="366" t="str">
        <f>txt!B44</f>
        <v>Informatikdienstleistungen</v>
      </c>
      <c r="C3" s="366"/>
      <c r="D3" s="366"/>
      <c r="E3" s="366"/>
      <c r="F3" s="366"/>
      <c r="G3" s="366"/>
      <c r="K3" s="51" t="str">
        <f>txt!B177</f>
        <v>Abt. Wirtschaft, Sektion PREIS</v>
      </c>
    </row>
    <row r="4" spans="1:12" ht="13.5" customHeight="1">
      <c r="A4" s="63"/>
      <c r="B4" s="63"/>
      <c r="C4" s="63"/>
      <c r="D4" s="63"/>
      <c r="E4" s="63"/>
      <c r="F4" s="63"/>
      <c r="G4" s="63"/>
      <c r="H4" s="63"/>
      <c r="I4" s="63"/>
      <c r="J4" s="63"/>
      <c r="K4" s="63"/>
      <c r="L4" s="63"/>
    </row>
    <row r="5" spans="1:12" ht="13.5" customHeight="1">
      <c r="A5" s="63" t="str">
        <f>txt!B46</f>
        <v>PMS-Nr. 0</v>
      </c>
      <c r="B5" s="63"/>
      <c r="C5" s="63"/>
      <c r="D5" s="63"/>
      <c r="E5" s="63"/>
      <c r="F5" s="63"/>
      <c r="G5" s="63"/>
      <c r="H5" s="63"/>
      <c r="J5" s="63"/>
      <c r="K5" s="51" t="str">
        <f>txt!B45</f>
        <v/>
      </c>
      <c r="L5" s="63"/>
    </row>
    <row r="6" spans="1:12" ht="13.5" customHeight="1">
      <c r="A6" s="63"/>
      <c r="B6" s="63"/>
      <c r="C6" s="63"/>
      <c r="D6" s="63"/>
      <c r="E6" s="63"/>
      <c r="F6" s="63"/>
      <c r="G6" s="63"/>
      <c r="H6" s="63"/>
      <c r="I6" s="63"/>
      <c r="J6" s="63"/>
      <c r="K6" s="63"/>
      <c r="L6" s="63"/>
    </row>
    <row r="7" spans="1:12" ht="13.5" customHeight="1">
      <c r="A7" s="63" t="str">
        <f>txt!B47&amp;": "&amp;txt!B52</f>
        <v>Geschäftsfeld: IT-Infrastrukturdienste</v>
      </c>
      <c r="B7" s="63"/>
      <c r="C7" s="63"/>
      <c r="D7" s="63"/>
      <c r="E7" s="63"/>
      <c r="F7" s="63"/>
      <c r="G7" s="63"/>
      <c r="H7" s="349" t="str">
        <f>" "&amp;REPT("|",INT(Steuerung!AA41*107))</f>
        <v xml:space="preserve"> </v>
      </c>
      <c r="I7" s="350"/>
      <c r="J7" s="350"/>
      <c r="K7" s="351"/>
      <c r="L7" s="63"/>
    </row>
    <row r="8" spans="1:12" ht="13.5" customHeight="1">
      <c r="A8" s="63" t="str">
        <f>txt!B48&amp;": "&amp;txt!B62</f>
        <v>Dienstleistungstyp: Infrastructure as a Service (IaaS)</v>
      </c>
      <c r="B8" s="63"/>
      <c r="C8" s="63"/>
      <c r="D8" s="63"/>
      <c r="E8" s="63"/>
      <c r="F8" s="63"/>
      <c r="G8" s="63"/>
      <c r="H8" s="63"/>
      <c r="I8" s="63"/>
      <c r="J8" s="63"/>
      <c r="K8" s="65" t="str">
        <f>IF($A$17="",txt!B245,IF($C$17="",txt!B242,IF($E$17="",txt!B233,IF($F$17="",txt!B234,IF(A34=1,"","")))))</f>
        <v>Bitte beschreiben Sie IaaS-Leistungen für Schweizer Geschäftskunden</v>
      </c>
      <c r="L8" s="63"/>
    </row>
    <row r="9" spans="1:12" ht="13.5" customHeight="1"/>
    <row r="10" spans="1:12" s="80" customFormat="1" ht="13.5" customHeight="1">
      <c r="A10" s="357" t="str">
        <f>txt!B190</f>
        <v>Wie hoch war der Unit-Nettopreis im unten genannten Vertrag?</v>
      </c>
      <c r="B10" s="357"/>
      <c r="C10" s="357"/>
      <c r="D10" s="357"/>
      <c r="E10" s="357"/>
      <c r="F10" s="357"/>
      <c r="G10" s="357"/>
      <c r="H10" s="357"/>
      <c r="I10" s="357"/>
      <c r="J10" s="357"/>
      <c r="K10" s="357"/>
    </row>
    <row r="11" spans="1:12" ht="13.5" customHeight="1">
      <c r="A11" s="63"/>
      <c r="B11" s="63"/>
      <c r="C11" s="63"/>
      <c r="D11" s="63"/>
      <c r="E11" s="63"/>
      <c r="F11" s="63"/>
      <c r="G11" s="63"/>
      <c r="H11" s="63"/>
      <c r="I11" s="63"/>
    </row>
    <row r="12" spans="1:12" ht="13.5" customHeight="1">
      <c r="A12" s="352" t="str">
        <f>txt!B198&amp;":"</f>
        <v>Beschreiben Sie eine IaaS-Leistung für einen bis drei zentrale(n) Schweizer Geschäftskunden (inkl. Kundenauftragsidentifikator, z.B. Auftragsnummer):</v>
      </c>
      <c r="B12" s="63"/>
      <c r="C12" s="167" t="str">
        <f>txt!B157</f>
        <v>Kunde in der Schweiz</v>
      </c>
      <c r="D12" s="135"/>
      <c r="E12" s="135"/>
      <c r="H12" s="167"/>
      <c r="I12" s="167"/>
      <c r="J12" s="167"/>
    </row>
    <row r="13" spans="1:12" ht="13.5" customHeight="1">
      <c r="A13" s="352"/>
      <c r="B13" s="63"/>
      <c r="C13" s="167"/>
      <c r="D13" s="135"/>
      <c r="E13" s="135"/>
      <c r="H13" s="167"/>
      <c r="I13" s="167"/>
      <c r="J13" s="167"/>
    </row>
    <row r="14" spans="1:12" ht="13.5" customHeight="1">
      <c r="A14" s="352"/>
      <c r="B14" s="63"/>
      <c r="C14" s="57" t="str">
        <f>txt!B194</f>
        <v>Skalierbar</v>
      </c>
      <c r="E14" s="168" t="str">
        <f>txt!B23</f>
        <v>März 2022</v>
      </c>
      <c r="F14" s="168" t="str">
        <f>txt!B24</f>
        <v>März 2021</v>
      </c>
      <c r="H14" s="57"/>
      <c r="I14" s="165"/>
      <c r="J14" s="168"/>
      <c r="K14" s="168"/>
    </row>
    <row r="15" spans="1:12" ht="13.5" customHeight="1">
      <c r="A15" s="352"/>
      <c r="B15" s="63"/>
      <c r="C15" s="57" t="str">
        <f>txt!B195</f>
        <v>Einheit</v>
      </c>
      <c r="D15" s="57" t="str">
        <f>txt!$B$161</f>
        <v>Währung</v>
      </c>
      <c r="E15" s="170" t="str">
        <f>txt!B166</f>
        <v>Preis</v>
      </c>
      <c r="F15" s="170" t="str">
        <f>txt!B166</f>
        <v>Preis</v>
      </c>
      <c r="H15" s="57"/>
      <c r="I15" s="169"/>
      <c r="J15" s="168"/>
      <c r="K15" s="168"/>
    </row>
    <row r="16" spans="1:12" ht="13.5" customHeight="1">
      <c r="A16" s="63"/>
      <c r="B16" s="63"/>
      <c r="C16" s="63"/>
      <c r="D16" s="63"/>
      <c r="E16" s="63"/>
      <c r="F16" s="63"/>
      <c r="G16" s="63"/>
      <c r="H16" s="63"/>
      <c r="I16" s="63"/>
    </row>
    <row r="17" spans="1:11" ht="40.5" customHeight="1">
      <c r="A17" s="276"/>
      <c r="B17" s="149"/>
      <c r="C17" s="310"/>
      <c r="D17" s="180" t="s">
        <v>159</v>
      </c>
      <c r="E17" s="284"/>
      <c r="F17" s="284"/>
      <c r="G17" s="149"/>
      <c r="H17" s="149"/>
      <c r="I17" s="149"/>
      <c r="K17" s="156"/>
    </row>
    <row r="18" spans="1:11" s="80" customFormat="1" ht="7.5" customHeight="1">
      <c r="A18" s="111"/>
      <c r="B18" s="111"/>
      <c r="C18" s="111"/>
      <c r="D18" s="111"/>
      <c r="E18" s="111"/>
      <c r="F18" s="111"/>
      <c r="G18" s="111"/>
      <c r="H18" s="111"/>
      <c r="I18" s="111"/>
      <c r="K18" s="111"/>
    </row>
    <row r="19" spans="1:11" ht="40.5" customHeight="1">
      <c r="A19" s="276"/>
      <c r="B19" s="149"/>
      <c r="C19" s="310"/>
      <c r="D19" s="180" t="s">
        <v>159</v>
      </c>
      <c r="E19" s="284"/>
      <c r="F19" s="284"/>
      <c r="G19" s="149"/>
      <c r="H19" s="149"/>
      <c r="I19" s="149"/>
      <c r="K19" s="156"/>
    </row>
    <row r="20" spans="1:11" s="80" customFormat="1" ht="7.5" customHeight="1">
      <c r="A20" s="111"/>
      <c r="B20" s="111"/>
      <c r="C20" s="111"/>
      <c r="D20" s="111"/>
      <c r="E20" s="111"/>
      <c r="F20" s="111"/>
      <c r="G20" s="111"/>
      <c r="H20" s="111"/>
      <c r="I20" s="111"/>
      <c r="K20" s="111"/>
    </row>
    <row r="21" spans="1:11" ht="40.5" customHeight="1">
      <c r="A21" s="276"/>
      <c r="B21" s="149"/>
      <c r="C21" s="310"/>
      <c r="D21" s="180" t="s">
        <v>159</v>
      </c>
      <c r="E21" s="284"/>
      <c r="F21" s="284"/>
      <c r="G21" s="149"/>
      <c r="H21" s="149"/>
      <c r="I21" s="149"/>
      <c r="K21" s="156"/>
    </row>
    <row r="22" spans="1:11" s="68" customFormat="1" ht="13.5" customHeight="1">
      <c r="A22" s="156"/>
      <c r="B22" s="156"/>
      <c r="C22" s="156"/>
      <c r="D22" s="156"/>
      <c r="E22" s="156"/>
      <c r="F22" s="156"/>
      <c r="G22" s="156"/>
      <c r="H22" s="156"/>
      <c r="I22" s="156"/>
      <c r="K22" s="156"/>
    </row>
    <row r="23" spans="1:11" s="68" customFormat="1" ht="40.5" customHeight="1">
      <c r="A23" s="234" t="str">
        <f>txt!B200</f>
        <v>Beispiel: Storage on Demand (x GB durchschnittliche, effektive Nutzung pro Monat), y% Verfügbarkeit, x-fache Redundanz, Service Level: Standard, Sicherheitslevel: Standard, ohne Setup beim Kunden.</v>
      </c>
      <c r="B23" s="156"/>
      <c r="C23" s="348" t="str">
        <f>txt!B159</f>
        <v>Defintion "Kunde in der Schweiz": Adresse des Leistungsbezügers im Inland.</v>
      </c>
      <c r="D23" s="348"/>
      <c r="E23" s="348"/>
      <c r="F23" s="348"/>
      <c r="G23" s="156"/>
      <c r="H23" s="156"/>
      <c r="I23" s="156"/>
      <c r="K23" s="156"/>
    </row>
    <row r="24" spans="1:11" s="68" customFormat="1" ht="7.5" customHeight="1">
      <c r="A24" s="156"/>
      <c r="B24" s="156"/>
      <c r="C24" s="156"/>
      <c r="D24" s="156"/>
      <c r="E24" s="156"/>
      <c r="F24" s="156"/>
      <c r="G24" s="156"/>
      <c r="H24" s="156"/>
      <c r="I24" s="156"/>
      <c r="K24" s="156"/>
    </row>
    <row r="25" spans="1:11" s="68" customFormat="1" ht="40.5" customHeight="1">
      <c r="A25" s="234" t="str">
        <f>txt!B201</f>
        <v>Beispiel: Virtueller Server mit x vCPU, y Memory, z Speicherplatz, x% Verfügbarkeit, Netzwerkeinbindung, Sicherheitslevel: Standard.</v>
      </c>
      <c r="B25" s="156"/>
      <c r="C25" s="348" t="str">
        <f>txt!B169</f>
        <v>Die Preise sind ohne Mehrwertsteuer anzugeben.</v>
      </c>
      <c r="D25" s="348"/>
      <c r="E25" s="348"/>
      <c r="F25" s="348"/>
      <c r="G25" s="156"/>
      <c r="H25" s="156"/>
      <c r="I25" s="156"/>
      <c r="K25" s="156"/>
    </row>
    <row r="26" spans="1:11" s="68" customFormat="1" ht="7.5" customHeight="1">
      <c r="A26" s="156"/>
      <c r="B26" s="156"/>
      <c r="C26" s="156"/>
      <c r="D26" s="156"/>
      <c r="E26" s="156"/>
      <c r="F26" s="156"/>
      <c r="G26" s="156"/>
      <c r="H26" s="156"/>
      <c r="I26" s="156"/>
      <c r="K26" s="156"/>
    </row>
    <row r="27" spans="1:11" s="68" customFormat="1" ht="40.5" customHeight="1">
      <c r="A27" s="234" t="str">
        <f>txt!B124</f>
        <v>Der Kundenidentifikator (Auftragsnummer, Kundennummer etc.) dient Ihnen ausschliesslich zur Identifizierung des Auftrags im Folgejahr. Sie können aus Sicherheitsgründen diese Nummer anonymisieren.</v>
      </c>
      <c r="B27" s="156"/>
      <c r="C27" s="348" t="str">
        <f>txt!B192</f>
        <v>Unit-Nettopreis: (Pauschale + Unit-Preis * effektiv bezogene Leistung - allfällige Rabatte) / effektiv bezogene Leistung.</v>
      </c>
      <c r="D27" s="348"/>
      <c r="E27" s="348"/>
      <c r="F27" s="348"/>
      <c r="G27" s="156"/>
      <c r="H27" s="156"/>
      <c r="I27" s="156"/>
      <c r="K27" s="156"/>
    </row>
    <row r="28" spans="1:11" s="68" customFormat="1" ht="13.5" customHeight="1">
      <c r="A28" s="156"/>
      <c r="B28" s="156"/>
      <c r="C28" s="156"/>
      <c r="D28" s="156"/>
      <c r="E28" s="156"/>
      <c r="F28" s="156"/>
      <c r="G28" s="156"/>
      <c r="H28" s="156"/>
      <c r="I28" s="156"/>
      <c r="K28" s="156"/>
    </row>
    <row r="29" spans="1:11" s="68" customFormat="1" ht="20.100000000000001" customHeight="1">
      <c r="A29" s="234" t="str">
        <f>txt!B125</f>
        <v>Bitte geben Sie den Preis bei Vertragsabschluss an.</v>
      </c>
      <c r="B29" s="187"/>
      <c r="C29" s="187"/>
      <c r="D29" s="187"/>
      <c r="E29" s="187"/>
      <c r="F29" s="187"/>
      <c r="G29" s="187"/>
      <c r="H29" s="187"/>
      <c r="I29" s="187"/>
      <c r="K29" s="187"/>
    </row>
    <row r="30" spans="1:11" s="68" customFormat="1" ht="13.5" customHeight="1">
      <c r="A30" s="187"/>
      <c r="B30" s="187"/>
      <c r="C30" s="187"/>
      <c r="D30" s="187"/>
      <c r="E30" s="187"/>
      <c r="F30" s="187"/>
      <c r="G30" s="187"/>
      <c r="H30" s="187"/>
      <c r="I30" s="187"/>
      <c r="K30" s="187"/>
    </row>
    <row r="31" spans="1:11" s="80" customFormat="1" ht="13.5" customHeight="1">
      <c r="A31" s="157" t="str">
        <f>txt!B173&amp;":"</f>
        <v>Bemerkungen:</v>
      </c>
      <c r="B31" s="111"/>
      <c r="C31" s="111"/>
      <c r="D31" s="111"/>
      <c r="E31" s="111"/>
      <c r="F31" s="111"/>
      <c r="G31" s="111"/>
      <c r="H31" s="111"/>
      <c r="I31" s="111"/>
      <c r="K31" s="111"/>
    </row>
    <row r="32" spans="1:11" s="80" customFormat="1" ht="54" customHeight="1">
      <c r="A32" s="367"/>
      <c r="B32" s="368"/>
      <c r="C32" s="368"/>
      <c r="D32" s="368"/>
      <c r="E32" s="368"/>
      <c r="F32" s="368"/>
      <c r="G32" s="368"/>
      <c r="H32" s="368"/>
      <c r="I32" s="368"/>
      <c r="J32" s="368"/>
      <c r="K32" s="369"/>
    </row>
    <row r="33" spans="1:9" ht="13.5" customHeight="1"/>
    <row r="34" spans="1:9" ht="13.5" customHeight="1">
      <c r="A34" s="78">
        <f>Steuerung!E41</f>
        <v>0</v>
      </c>
      <c r="C34" s="268" t="str">
        <f>txt!$B$221</f>
        <v>ZURÜCK</v>
      </c>
      <c r="D34" s="181"/>
      <c r="E34" s="181"/>
      <c r="F34" s="181"/>
      <c r="H34" s="269" t="str">
        <f>IF($A$17="","",IF($C$17="","",IF($E$17="","",IF($F$17="","",IF(A34=1,txt!B222,"")))))</f>
        <v/>
      </c>
      <c r="I34" s="112"/>
    </row>
    <row r="35" spans="1:9" ht="13.5" customHeight="1">
      <c r="A35" s="78"/>
      <c r="C35" s="181"/>
      <c r="D35" s="181"/>
      <c r="E35" s="181"/>
      <c r="F35" s="181"/>
      <c r="H35" s="62"/>
      <c r="I35" s="112"/>
    </row>
    <row r="36" spans="1:9" ht="13.5" customHeight="1">
      <c r="A36" s="78">
        <f>Steuerung!H$41</f>
        <v>0</v>
      </c>
      <c r="H36" s="269" t="str">
        <f>IF($A$17="","",IF($E$17="","",IF($C$17="","",IF($F$17="","",IF(AND(A34=0,A36=1),txt!B222,"")))))</f>
        <v/>
      </c>
      <c r="I36" s="62"/>
    </row>
    <row r="37" spans="1:9" ht="13.5" customHeight="1">
      <c r="A37" s="78"/>
      <c r="H37" s="62"/>
      <c r="I37" s="62"/>
    </row>
    <row r="38" spans="1:9" ht="13.5" customHeight="1">
      <c r="A38" s="78">
        <f>Steuerung!J$41</f>
        <v>0</v>
      </c>
      <c r="H38" s="269" t="str">
        <f>IF($A$17="","",IF($E$17="","",IF($C$17="","",IF($F$17="","",IF(AND(A34=0,A36=0,A38=1),txt!B222,"")))))</f>
        <v/>
      </c>
      <c r="I38" s="62"/>
    </row>
    <row r="39" spans="1:9" ht="13.5" customHeight="1">
      <c r="A39" s="78"/>
      <c r="H39" s="62"/>
      <c r="I39" s="62"/>
    </row>
    <row r="40" spans="1:9" ht="13.5" customHeight="1">
      <c r="A40" s="78">
        <f>Steuerung!L$41</f>
        <v>1</v>
      </c>
      <c r="H40" s="274" t="str">
        <f>IF($A$17="","",IF($E$17="","",IF($C$17="","",IF($F$17="","",IF(AND(A34=0,A36=0,A38=0,A40=1),txt!B222,"")))))</f>
        <v/>
      </c>
      <c r="I40" s="62"/>
    </row>
    <row r="47" spans="1:9" ht="12.95" customHeight="1"/>
    <row r="121" spans="3:3">
      <c r="C121" s="50" t="s">
        <v>270</v>
      </c>
    </row>
    <row r="123" spans="3:3">
      <c r="C123" s="50" t="s">
        <v>271</v>
      </c>
    </row>
  </sheetData>
  <sheetProtection algorithmName="SHA-512" hashValue="2NutvWIpCxtJFE2vFms2fRO4hkqk6+BIXWb3fN6Z8U8kYyER5VGiNv5cdQqMfdopRdG+/u0i6yphXe5fanoa1g==" saltValue="aVBnKifUIkildpjPuUVI0g==" spinCount="100000" sheet="1" objects="1" scenarios="1"/>
  <mergeCells count="10">
    <mergeCell ref="B1:G1"/>
    <mergeCell ref="B2:G2"/>
    <mergeCell ref="B3:G3"/>
    <mergeCell ref="A32:K32"/>
    <mergeCell ref="C27:F27"/>
    <mergeCell ref="A10:K10"/>
    <mergeCell ref="C23:F23"/>
    <mergeCell ref="H7:K7"/>
    <mergeCell ref="A12:A15"/>
    <mergeCell ref="C25:F25"/>
  </mergeCells>
  <conditionalFormatting sqref="I34:I40">
    <cfRule type="containsText" dxfId="26" priority="10" operator="containsText" text="WEITER">
      <formula>NOT(ISERROR(SEARCH("WEITER",I34)))</formula>
    </cfRule>
  </conditionalFormatting>
  <conditionalFormatting sqref="E17:F17 E19:F19 E21:F21">
    <cfRule type="expression" dxfId="25" priority="59">
      <formula>#REF!=1</formula>
    </cfRule>
  </conditionalFormatting>
  <conditionalFormatting sqref="H12:J13 I14:K15">
    <cfRule type="expression" dxfId="24" priority="60">
      <formula>#REF!=1</formula>
    </cfRule>
  </conditionalFormatting>
  <dataValidations count="1">
    <dataValidation type="textLength" allowBlank="1" showInputMessage="1" showErrorMessage="1" error="Bitte verwenden Sie nicht mehr als 199 Zeichen / S.v.p. utilisez 199 caractères au maximum" sqref="A17 A19 A21">
      <formula1>0</formula1>
      <formula2>199</formula2>
    </dataValidation>
  </dataValidations>
  <hyperlinks>
    <hyperlink ref="H34" location="'41uEX'!A1" display="'41uEX'!A1"/>
    <hyperlink ref="H36" location="'42uCH'!A1" display="'42uCH'!A1"/>
    <hyperlink ref="H38" location="'43uCH'!A1" display="'43uCH'!A1"/>
    <hyperlink ref="H40" location="'5'!A1" display="'5'!A1"/>
    <hyperlink ref="C34" location="'40'!$A$1" display="'40'!$A$1"/>
  </hyperlinks>
  <pageMargins left="0.74803149606299213" right="0.74803149606299213" top="0.39370078740157483" bottom="0.19685039370078741" header="0.51181102362204722" footer="0.51181102362204722"/>
  <pageSetup paperSize="9" scale="87"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4354442F-743D-CD4D-86CC-89EA961F612C}">
            <xm:f>txt!$B$222</xm:f>
            <x14:dxf>
              <font>
                <u/>
                <color rgb="FF0000FF"/>
              </font>
              <fill>
                <patternFill patternType="solid">
                  <fgColor indexed="64"/>
                  <bgColor rgb="FFFFFF00"/>
                </patternFill>
              </fill>
            </x14:dxf>
          </x14:cfRule>
          <xm:sqref>H34:H40</xm:sqref>
        </x14:conditionalFormatting>
      </x14:conditionalFormattings>
    </ex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tabColor theme="9" tint="0.39997558519241921"/>
    <pageSetUpPr fitToPage="1"/>
  </sheetPr>
  <dimension ref="A1:AQ194"/>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8.6640625" style="133" customWidth="1"/>
    <col min="5" max="6" width="8.6640625" style="79" customWidth="1"/>
    <col min="7" max="7" width="2.6640625" style="79" customWidth="1"/>
    <col min="8" max="11" width="8.6640625" style="79" customWidth="1"/>
    <col min="12" max="43" width="10.6640625" style="50"/>
    <col min="44" max="16384" width="10.6640625" style="79"/>
  </cols>
  <sheetData>
    <row r="1" spans="1:11" ht="15" customHeight="1">
      <c r="A1" s="50"/>
      <c r="B1" s="366" t="str">
        <f>txt!B42</f>
        <v>Preiserhebung</v>
      </c>
      <c r="C1" s="366"/>
      <c r="D1" s="366"/>
      <c r="E1" s="366"/>
      <c r="F1" s="366"/>
      <c r="G1" s="366"/>
      <c r="H1" s="50"/>
      <c r="I1" s="50"/>
      <c r="J1" s="50"/>
      <c r="K1" s="51" t="str">
        <f>txt!B175</f>
        <v>Eidg. Departement des Innern</v>
      </c>
    </row>
    <row r="2" spans="1:11" ht="15" customHeight="1">
      <c r="A2" s="50"/>
      <c r="B2" s="366" t="str">
        <f>txt!B43</f>
        <v>Produzentenpreisindex</v>
      </c>
      <c r="C2" s="366"/>
      <c r="D2" s="366"/>
      <c r="E2" s="366"/>
      <c r="F2" s="366"/>
      <c r="G2" s="366"/>
      <c r="H2" s="50"/>
      <c r="I2" s="50"/>
      <c r="J2" s="50"/>
      <c r="K2" s="51" t="str">
        <f>txt!B176</f>
        <v>Bundesamt für Statistik BFS</v>
      </c>
    </row>
    <row r="3" spans="1:11" ht="15" customHeight="1">
      <c r="A3" s="50"/>
      <c r="B3" s="366" t="str">
        <f>txt!B44</f>
        <v>Informatikdienstleistungen</v>
      </c>
      <c r="C3" s="366"/>
      <c r="D3" s="366"/>
      <c r="E3" s="366"/>
      <c r="F3" s="366"/>
      <c r="G3" s="366"/>
      <c r="H3" s="50"/>
      <c r="I3" s="50"/>
      <c r="J3" s="50"/>
      <c r="K3" s="51" t="str">
        <f>txt!B177</f>
        <v>Abt. Wirtschaft, Sektion PREIS</v>
      </c>
    </row>
    <row r="4" spans="1:11" ht="13.5" customHeight="1">
      <c r="A4" s="63"/>
      <c r="B4" s="63"/>
      <c r="C4" s="63"/>
      <c r="D4" s="63"/>
      <c r="E4" s="63"/>
      <c r="F4" s="63"/>
      <c r="G4" s="63"/>
      <c r="H4" s="63"/>
      <c r="I4" s="63"/>
      <c r="J4" s="63"/>
      <c r="K4" s="63"/>
    </row>
    <row r="5" spans="1:11" ht="13.5" customHeight="1">
      <c r="A5" s="63" t="str">
        <f>txt!B46</f>
        <v>PMS-Nr. 0</v>
      </c>
      <c r="B5" s="63"/>
      <c r="C5" s="63"/>
      <c r="D5" s="63"/>
      <c r="E5" s="63"/>
      <c r="F5" s="63"/>
      <c r="G5" s="63"/>
      <c r="H5" s="63"/>
      <c r="I5" s="50"/>
      <c r="J5" s="63"/>
      <c r="K5" s="51" t="str">
        <f>txt!B45</f>
        <v/>
      </c>
    </row>
    <row r="6" spans="1:11" ht="13.5" customHeight="1">
      <c r="A6" s="63"/>
      <c r="B6" s="63"/>
      <c r="C6" s="63"/>
      <c r="D6" s="63"/>
      <c r="E6" s="63"/>
      <c r="F6" s="63"/>
      <c r="G6" s="63"/>
      <c r="H6" s="63"/>
      <c r="I6" s="63"/>
      <c r="J6" s="63"/>
      <c r="K6" s="63"/>
    </row>
    <row r="7" spans="1:11" ht="13.5" customHeight="1">
      <c r="A7" s="63" t="str">
        <f>txt!B47&amp;": "&amp;txt!B52</f>
        <v>Geschäftsfeld: IT-Infrastrukturdienste</v>
      </c>
      <c r="B7" s="63"/>
      <c r="C7" s="63"/>
      <c r="D7" s="63"/>
      <c r="E7" s="63"/>
      <c r="F7" s="63"/>
      <c r="G7" s="63"/>
      <c r="H7" s="349" t="str">
        <f>" "&amp;REPT("|",INT(Steuerung!AF41*107))</f>
        <v xml:space="preserve"> </v>
      </c>
      <c r="I7" s="350"/>
      <c r="J7" s="350"/>
      <c r="K7" s="351"/>
    </row>
    <row r="8" spans="1:11" ht="13.5" customHeight="1">
      <c r="A8" s="63" t="str">
        <f>txt!B48&amp;": "&amp;txt!B62</f>
        <v>Dienstleistungstyp: Infrastructure as a Service (IaaS)</v>
      </c>
      <c r="B8" s="63"/>
      <c r="C8" s="63"/>
      <c r="D8" s="63"/>
      <c r="E8" s="63"/>
      <c r="F8" s="63"/>
      <c r="G8" s="63"/>
      <c r="H8" s="63"/>
      <c r="I8" s="63"/>
      <c r="J8" s="63"/>
      <c r="K8" s="65" t="str">
        <f>IF($A$17="",txt!B246,IF($H$17="",txt!B242,IF($I$17="",txt!B235,IF($J$17="",txt!B233,IF($K$17="",txt!B234,IF(A34=1,"",""))))))</f>
        <v>Bitte beschreiben Sie IaaS-Leistungen für ausländische Geschäftskunden</v>
      </c>
    </row>
    <row r="9" spans="1:11" ht="13.5" customHeight="1">
      <c r="A9" s="63"/>
      <c r="B9" s="63"/>
      <c r="C9" s="63"/>
      <c r="D9" s="63"/>
      <c r="E9" s="63"/>
      <c r="F9" s="63"/>
      <c r="G9" s="63"/>
      <c r="H9" s="63"/>
      <c r="I9" s="63"/>
      <c r="J9" s="63"/>
      <c r="K9" s="63"/>
    </row>
    <row r="10" spans="1:11" ht="13.5" customHeight="1">
      <c r="A10" s="357" t="str">
        <f>txt!B190</f>
        <v>Wie hoch war der Unit-Nettopreis im unten genannten Vertrag?</v>
      </c>
      <c r="B10" s="357"/>
      <c r="C10" s="357"/>
      <c r="D10" s="357"/>
      <c r="E10" s="357"/>
      <c r="F10" s="357"/>
      <c r="G10" s="357"/>
      <c r="H10" s="357"/>
      <c r="I10" s="357"/>
      <c r="J10" s="357"/>
      <c r="K10" s="357"/>
    </row>
    <row r="11" spans="1:11" ht="13.5" customHeight="1">
      <c r="A11" s="63"/>
      <c r="B11" s="63"/>
      <c r="C11" s="63"/>
      <c r="D11" s="63"/>
      <c r="E11" s="63"/>
      <c r="F11" s="63"/>
      <c r="G11" s="63"/>
      <c r="H11" s="63"/>
      <c r="I11" s="63"/>
      <c r="J11" s="50"/>
      <c r="K11" s="50"/>
    </row>
    <row r="12" spans="1:11" ht="13.5" customHeight="1">
      <c r="A12" s="352" t="str">
        <f>txt!B199&amp;":"</f>
        <v>Beschreiben Sie eine IaaS-Leistung für einen bis drei zentrale ausländische(n) Geschäftskunden (inkl. Kundenauftragsidentifikator, z.B. Auftragsnummer):</v>
      </c>
      <c r="B12" s="63"/>
      <c r="C12" s="63"/>
      <c r="D12" s="63"/>
      <c r="E12" s="63"/>
      <c r="F12" s="63"/>
      <c r="G12" s="50"/>
      <c r="H12" s="167" t="str">
        <f>txt!B158</f>
        <v>Kunde im Ausland</v>
      </c>
      <c r="I12" s="135"/>
      <c r="J12" s="135"/>
      <c r="K12" s="50"/>
    </row>
    <row r="13" spans="1:11" ht="13.5" customHeight="1">
      <c r="A13" s="352"/>
      <c r="B13" s="63"/>
      <c r="C13" s="63"/>
      <c r="D13" s="63"/>
      <c r="E13" s="63"/>
      <c r="F13" s="63"/>
      <c r="G13" s="50"/>
      <c r="H13" s="167"/>
      <c r="I13" s="135"/>
      <c r="J13" s="135"/>
      <c r="K13" s="50"/>
    </row>
    <row r="14" spans="1:11" ht="13.5" customHeight="1">
      <c r="A14" s="352"/>
      <c r="B14" s="63"/>
      <c r="C14" s="63"/>
      <c r="D14" s="63"/>
      <c r="E14" s="63"/>
      <c r="F14" s="63"/>
      <c r="G14" s="50"/>
      <c r="H14" s="57" t="str">
        <f>txt!B194</f>
        <v>Skalierbar</v>
      </c>
      <c r="I14" s="50"/>
      <c r="J14" s="168" t="str">
        <f>txt!B23</f>
        <v>März 2022</v>
      </c>
      <c r="K14" s="168" t="str">
        <f>txt!B24</f>
        <v>März 2021</v>
      </c>
    </row>
    <row r="15" spans="1:11" ht="13.5" customHeight="1">
      <c r="A15" s="352"/>
      <c r="B15" s="63"/>
      <c r="C15" s="63"/>
      <c r="D15" s="63"/>
      <c r="E15" s="63"/>
      <c r="F15" s="63"/>
      <c r="G15" s="50"/>
      <c r="H15" s="57" t="str">
        <f>txt!B195</f>
        <v>Einheit</v>
      </c>
      <c r="I15" s="57" t="str">
        <f>txt!$B$161</f>
        <v>Währung</v>
      </c>
      <c r="J15" s="170" t="str">
        <f>txt!B166</f>
        <v>Preis</v>
      </c>
      <c r="K15" s="170" t="str">
        <f>txt!B166</f>
        <v>Preis</v>
      </c>
    </row>
    <row r="16" spans="1:11" ht="13.5" customHeight="1">
      <c r="A16" s="63"/>
      <c r="B16" s="63"/>
      <c r="C16" s="63"/>
      <c r="D16" s="63"/>
      <c r="E16" s="63"/>
      <c r="F16" s="63"/>
      <c r="G16" s="63"/>
      <c r="H16" s="63"/>
      <c r="I16" s="63"/>
      <c r="J16" s="63"/>
      <c r="K16" s="63"/>
    </row>
    <row r="17" spans="1:11" ht="40.5" customHeight="1">
      <c r="A17" s="276"/>
      <c r="B17" s="149"/>
      <c r="C17" s="63"/>
      <c r="D17" s="63"/>
      <c r="E17" s="63"/>
      <c r="F17" s="63"/>
      <c r="G17" s="149"/>
      <c r="H17" s="310"/>
      <c r="I17" s="279"/>
      <c r="J17" s="284"/>
      <c r="K17" s="284"/>
    </row>
    <row r="18" spans="1:11" ht="7.5" customHeight="1">
      <c r="A18" s="111"/>
      <c r="B18" s="111"/>
      <c r="C18" s="63"/>
      <c r="D18" s="63"/>
      <c r="E18" s="63"/>
      <c r="F18" s="63"/>
      <c r="G18" s="111"/>
      <c r="H18" s="111"/>
      <c r="I18" s="111"/>
      <c r="J18" s="111"/>
      <c r="K18" s="111"/>
    </row>
    <row r="19" spans="1:11" ht="40.5" customHeight="1">
      <c r="A19" s="276"/>
      <c r="B19" s="149"/>
      <c r="C19" s="63"/>
      <c r="D19" s="63"/>
      <c r="E19" s="63"/>
      <c r="F19" s="63"/>
      <c r="G19" s="149"/>
      <c r="H19" s="310"/>
      <c r="I19" s="279"/>
      <c r="J19" s="284"/>
      <c r="K19" s="284"/>
    </row>
    <row r="20" spans="1:11" ht="7.5" customHeight="1">
      <c r="A20" s="111"/>
      <c r="B20" s="111"/>
      <c r="C20" s="63"/>
      <c r="D20" s="63"/>
      <c r="E20" s="63"/>
      <c r="F20" s="63"/>
      <c r="G20" s="111"/>
      <c r="H20" s="111"/>
      <c r="I20" s="111"/>
      <c r="J20" s="111"/>
      <c r="K20" s="111"/>
    </row>
    <row r="21" spans="1:11" ht="40.5" customHeight="1">
      <c r="A21" s="276"/>
      <c r="B21" s="149"/>
      <c r="C21" s="63"/>
      <c r="D21" s="63"/>
      <c r="E21" s="63"/>
      <c r="F21" s="63"/>
      <c r="G21" s="149"/>
      <c r="H21" s="310"/>
      <c r="I21" s="279"/>
      <c r="J21" s="284"/>
      <c r="K21" s="284"/>
    </row>
    <row r="22" spans="1:11" ht="13.5" customHeight="1">
      <c r="A22" s="156"/>
      <c r="B22" s="156"/>
      <c r="C22" s="63"/>
      <c r="D22" s="63"/>
      <c r="E22" s="63"/>
      <c r="F22" s="63"/>
      <c r="G22" s="156"/>
      <c r="H22" s="156"/>
      <c r="I22" s="156"/>
      <c r="J22" s="156"/>
      <c r="K22" s="156"/>
    </row>
    <row r="23" spans="1:11" ht="40.5" customHeight="1">
      <c r="A23" s="234" t="str">
        <f>txt!B200</f>
        <v>Beispiel: Storage on Demand (x GB durchschnittliche, effektive Nutzung pro Monat), y% Verfügbarkeit, x-fache Redundanz, Service Level: Standard, Sicherheitslevel: Standard, ohne Setup beim Kunden.</v>
      </c>
      <c r="B23" s="156"/>
      <c r="C23" s="63"/>
      <c r="D23" s="63"/>
      <c r="E23" s="63"/>
      <c r="F23" s="63"/>
      <c r="G23" s="156"/>
      <c r="H23" s="348" t="str">
        <f>txt!B160</f>
        <v>Definition "Kunde im Ausland": Adresse des Leistungsbezügers im Ausland.</v>
      </c>
      <c r="I23" s="348"/>
      <c r="J23" s="348"/>
      <c r="K23" s="348"/>
    </row>
    <row r="24" spans="1:11" ht="7.5" customHeight="1">
      <c r="A24" s="156"/>
      <c r="B24" s="156"/>
      <c r="C24" s="63"/>
      <c r="D24" s="63"/>
      <c r="E24" s="63"/>
      <c r="F24" s="63"/>
      <c r="G24" s="156"/>
      <c r="H24" s="156"/>
      <c r="I24" s="156"/>
      <c r="J24" s="156"/>
      <c r="K24" s="156"/>
    </row>
    <row r="25" spans="1:11" ht="40.5" customHeight="1">
      <c r="A25" s="234" t="str">
        <f>txt!B201</f>
        <v>Beispiel: Virtueller Server mit x vCPU, y Memory, z Speicherplatz, x% Verfügbarkeit, Netzwerkeinbindung, Sicherheitslevel: Standard.</v>
      </c>
      <c r="B25" s="156"/>
      <c r="C25" s="63"/>
      <c r="D25" s="63"/>
      <c r="E25" s="63"/>
      <c r="F25" s="63"/>
      <c r="G25" s="156"/>
      <c r="H25" s="348" t="str">
        <f>txt!B169</f>
        <v>Die Preise sind ohne Mehrwertsteuer anzugeben.</v>
      </c>
      <c r="I25" s="348"/>
      <c r="J25" s="348"/>
      <c r="K25" s="348"/>
    </row>
    <row r="26" spans="1:11" ht="7.5" customHeight="1">
      <c r="A26" s="156"/>
      <c r="B26" s="156"/>
      <c r="C26" s="63"/>
      <c r="D26" s="63"/>
      <c r="E26" s="63"/>
      <c r="F26" s="63"/>
      <c r="G26" s="156"/>
      <c r="H26" s="156"/>
      <c r="I26" s="156"/>
      <c r="J26" s="156"/>
      <c r="K26" s="156"/>
    </row>
    <row r="27" spans="1:11" ht="40.5" customHeight="1">
      <c r="A27" s="234" t="str">
        <f>txt!B124</f>
        <v>Der Kundenidentifikator (Auftragsnummer, Kundennummer etc.) dient Ihnen ausschliesslich zur Identifizierung des Auftrags im Folgejahr. Sie können aus Sicherheitsgründen diese Nummer anonymisieren.</v>
      </c>
      <c r="B27" s="156"/>
      <c r="C27" s="63"/>
      <c r="D27" s="63"/>
      <c r="E27" s="63"/>
      <c r="F27" s="63"/>
      <c r="G27" s="156"/>
      <c r="H27" s="348" t="str">
        <f>txt!B192</f>
        <v>Unit-Nettopreis: (Pauschale + Unit-Preis * effektiv bezogene Leistung - allfällige Rabatte) / effektiv bezogene Leistung.</v>
      </c>
      <c r="I27" s="348"/>
      <c r="J27" s="348"/>
      <c r="K27" s="348"/>
    </row>
    <row r="28" spans="1:11" ht="13.5" customHeight="1">
      <c r="A28" s="156"/>
      <c r="B28" s="156"/>
      <c r="C28" s="156"/>
      <c r="D28" s="156"/>
      <c r="E28" s="156"/>
      <c r="F28" s="156"/>
      <c r="G28" s="156"/>
      <c r="H28" s="156"/>
      <c r="I28" s="156"/>
      <c r="J28" s="68"/>
      <c r="K28" s="156"/>
    </row>
    <row r="29" spans="1:11" ht="20.100000000000001" customHeight="1">
      <c r="A29" s="234" t="str">
        <f>txt!B125</f>
        <v>Bitte geben Sie den Preis bei Vertragsabschluss an.</v>
      </c>
      <c r="B29" s="187"/>
      <c r="C29" s="187"/>
      <c r="D29" s="187"/>
      <c r="E29" s="187"/>
      <c r="F29" s="187"/>
      <c r="G29" s="187"/>
      <c r="H29" s="187"/>
      <c r="I29" s="187"/>
      <c r="J29" s="68"/>
      <c r="K29" s="187"/>
    </row>
    <row r="30" spans="1:11" ht="13.5" customHeight="1">
      <c r="A30" s="187"/>
      <c r="B30" s="187"/>
      <c r="C30" s="187"/>
      <c r="D30" s="187"/>
      <c r="E30" s="187"/>
      <c r="F30" s="187"/>
      <c r="G30" s="187"/>
      <c r="H30" s="187"/>
      <c r="I30" s="187"/>
      <c r="J30" s="68"/>
      <c r="K30" s="187"/>
    </row>
    <row r="31" spans="1:11" ht="13.5" customHeight="1">
      <c r="A31" s="157" t="str">
        <f>txt!B173&amp;":"</f>
        <v>Bemerkungen:</v>
      </c>
      <c r="B31" s="111"/>
      <c r="C31" s="111"/>
      <c r="D31" s="111"/>
      <c r="E31" s="111"/>
      <c r="F31" s="111"/>
      <c r="G31" s="111"/>
      <c r="H31" s="111"/>
      <c r="I31" s="111"/>
      <c r="J31" s="80"/>
      <c r="K31" s="111"/>
    </row>
    <row r="32" spans="1:11" ht="54" customHeight="1">
      <c r="A32" s="367"/>
      <c r="B32" s="368"/>
      <c r="C32" s="368"/>
      <c r="D32" s="368"/>
      <c r="E32" s="368"/>
      <c r="F32" s="368"/>
      <c r="G32" s="368"/>
      <c r="H32" s="368"/>
      <c r="I32" s="368"/>
      <c r="J32" s="368"/>
      <c r="K32" s="369"/>
    </row>
    <row r="33" spans="1:11" ht="13.5" customHeight="1">
      <c r="A33" s="50"/>
      <c r="B33" s="50"/>
      <c r="C33" s="50"/>
      <c r="D33" s="50"/>
      <c r="E33" s="50"/>
      <c r="F33" s="50"/>
      <c r="G33" s="50"/>
      <c r="H33" s="50"/>
      <c r="I33" s="50"/>
      <c r="J33" s="50"/>
      <c r="K33" s="50"/>
    </row>
    <row r="34" spans="1:11" ht="13.5" customHeight="1">
      <c r="A34" s="78">
        <f>Steuerung!H41</f>
        <v>0</v>
      </c>
      <c r="B34" s="50"/>
      <c r="C34" s="268" t="str">
        <f>txt!$B$221</f>
        <v>ZURÜCK</v>
      </c>
      <c r="D34" s="181"/>
      <c r="E34" s="181"/>
      <c r="F34" s="181"/>
      <c r="G34" s="50"/>
      <c r="H34" s="269" t="str">
        <f>IF($A$17="","",IF($H$17="","",IF($I$17="","",IF($J$17="","",IF($K$17="","",IF(A34=1,txt!$B$222,""))))))</f>
        <v/>
      </c>
      <c r="I34" s="112"/>
      <c r="J34" s="50"/>
      <c r="K34" s="50"/>
    </row>
    <row r="35" spans="1:11" ht="13.5" customHeight="1">
      <c r="A35" s="78"/>
      <c r="B35" s="50"/>
      <c r="C35" s="181"/>
      <c r="D35" s="181"/>
      <c r="E35" s="181"/>
      <c r="F35" s="181"/>
      <c r="G35" s="50"/>
      <c r="H35" s="62"/>
      <c r="I35" s="112"/>
      <c r="J35" s="50"/>
      <c r="K35" s="50"/>
    </row>
    <row r="36" spans="1:11" ht="13.5" customHeight="1">
      <c r="A36" s="78">
        <f>Steuerung!J$41</f>
        <v>0</v>
      </c>
      <c r="B36" s="50"/>
      <c r="C36" s="50"/>
      <c r="D36" s="50"/>
      <c r="E36" s="50"/>
      <c r="F36" s="50"/>
      <c r="G36" s="50"/>
      <c r="H36" s="269" t="str">
        <f>IF($A$17="","",IF($H$17="","",IF($I$17="","",IF($J$17="","",IF($K$17="","",IF(AND(A36=1,A34=0),txt!$B$222,""))))))</f>
        <v/>
      </c>
      <c r="I36" s="62"/>
      <c r="J36" s="50"/>
      <c r="K36" s="50"/>
    </row>
    <row r="37" spans="1:11" ht="13.5" customHeight="1">
      <c r="A37" s="78"/>
      <c r="B37" s="50"/>
      <c r="C37" s="50"/>
      <c r="D37" s="50"/>
      <c r="E37" s="50"/>
      <c r="F37" s="50"/>
      <c r="G37" s="50"/>
      <c r="H37" s="62"/>
      <c r="I37" s="62"/>
      <c r="J37" s="50"/>
      <c r="K37" s="50"/>
    </row>
    <row r="38" spans="1:11" ht="13.5" customHeight="1">
      <c r="A38" s="78">
        <f>Steuerung!L$41</f>
        <v>1</v>
      </c>
      <c r="B38" s="50"/>
      <c r="C38" s="50"/>
      <c r="D38" s="50"/>
      <c r="E38" s="50"/>
      <c r="F38" s="50"/>
      <c r="G38" s="50"/>
      <c r="H38" s="274" t="str">
        <f>IF($A$17="","",IF($H$17="","",IF($I$17="","",IF($J$17="","",IF($K$17="","",IF(AND(A38=1,A36=0,A34=0),txt!$B$222,""))))))</f>
        <v/>
      </c>
      <c r="I38" s="62"/>
      <c r="J38" s="50"/>
      <c r="K38" s="50"/>
    </row>
    <row r="39" spans="1:11" ht="13.5" customHeight="1">
      <c r="A39" s="50"/>
      <c r="B39" s="50"/>
      <c r="C39" s="50"/>
      <c r="D39" s="50"/>
      <c r="E39" s="50"/>
      <c r="F39" s="50"/>
      <c r="G39" s="50"/>
      <c r="H39" s="50"/>
      <c r="I39" s="50"/>
      <c r="J39" s="50"/>
      <c r="K39" s="50"/>
    </row>
    <row r="40" spans="1:11" ht="13.5" customHeight="1">
      <c r="A40" s="50"/>
      <c r="B40" s="50"/>
      <c r="C40" s="50"/>
      <c r="D40" s="50"/>
      <c r="E40" s="50"/>
      <c r="F40" s="50"/>
      <c r="G40" s="50"/>
      <c r="H40" s="50"/>
      <c r="I40" s="50"/>
      <c r="J40" s="50"/>
      <c r="K40" s="50"/>
    </row>
    <row r="41" spans="1:11">
      <c r="A41" s="50"/>
      <c r="B41" s="50"/>
      <c r="C41" s="50"/>
      <c r="D41" s="50"/>
      <c r="E41" s="50"/>
      <c r="F41" s="50"/>
      <c r="G41" s="50"/>
      <c r="H41" s="50"/>
      <c r="I41" s="50"/>
      <c r="J41" s="50"/>
      <c r="K41" s="50"/>
    </row>
    <row r="42" spans="1:11">
      <c r="A42" s="50"/>
      <c r="B42" s="50"/>
      <c r="C42" s="50"/>
      <c r="D42" s="50"/>
      <c r="E42" s="50"/>
      <c r="F42" s="50"/>
      <c r="G42" s="50"/>
      <c r="H42" s="50"/>
      <c r="I42" s="50"/>
      <c r="J42" s="50"/>
      <c r="K42" s="50"/>
    </row>
    <row r="43" spans="1:11">
      <c r="A43" s="50"/>
      <c r="B43" s="50"/>
      <c r="C43" s="50"/>
      <c r="D43" s="50"/>
      <c r="E43" s="50"/>
      <c r="F43" s="50"/>
      <c r="G43" s="50"/>
      <c r="H43" s="50"/>
      <c r="I43" s="50"/>
      <c r="J43" s="50"/>
      <c r="K43" s="50"/>
    </row>
    <row r="44" spans="1:11">
      <c r="A44" s="50"/>
      <c r="B44" s="50"/>
      <c r="C44" s="50"/>
      <c r="D44" s="50"/>
      <c r="E44" s="50"/>
      <c r="F44" s="50"/>
      <c r="G44" s="50"/>
      <c r="H44" s="50"/>
      <c r="I44" s="50"/>
      <c r="J44" s="50"/>
      <c r="K44" s="50"/>
    </row>
    <row r="45" spans="1:11" ht="12.95" customHeight="1">
      <c r="A45" s="50"/>
      <c r="B45" s="50"/>
      <c r="C45" s="50"/>
      <c r="D45" s="50"/>
      <c r="E45" s="50"/>
      <c r="F45" s="50"/>
      <c r="G45" s="50"/>
      <c r="H45" s="50"/>
      <c r="I45" s="50"/>
      <c r="J45" s="50"/>
      <c r="K45" s="50"/>
    </row>
    <row r="46" spans="1:11">
      <c r="A46" s="50"/>
      <c r="B46" s="50"/>
      <c r="C46" s="50"/>
      <c r="D46" s="50"/>
      <c r="E46" s="50"/>
      <c r="F46" s="50"/>
      <c r="G46" s="50"/>
      <c r="H46" s="50"/>
      <c r="I46" s="50"/>
      <c r="J46" s="50"/>
      <c r="K46" s="50"/>
    </row>
    <row r="47" spans="1:11">
      <c r="A47" s="50"/>
      <c r="B47" s="50"/>
      <c r="C47" s="50"/>
      <c r="D47" s="50"/>
      <c r="E47" s="50"/>
      <c r="F47" s="50"/>
      <c r="G47" s="50"/>
      <c r="H47" s="50"/>
      <c r="I47" s="50"/>
      <c r="J47" s="50"/>
      <c r="K47" s="50"/>
    </row>
    <row r="48" spans="1:11">
      <c r="A48" s="50"/>
      <c r="B48" s="50"/>
      <c r="C48" s="50"/>
      <c r="D48" s="50"/>
      <c r="E48" s="50"/>
      <c r="F48" s="50"/>
      <c r="G48" s="50"/>
      <c r="H48" s="50"/>
      <c r="I48" s="50"/>
      <c r="J48" s="50"/>
      <c r="K48" s="50"/>
    </row>
    <row r="49" spans="1:11">
      <c r="A49" s="50"/>
      <c r="B49" s="50"/>
      <c r="C49" s="50"/>
      <c r="D49" s="50"/>
      <c r="E49" s="50"/>
      <c r="F49" s="50"/>
      <c r="G49" s="50"/>
      <c r="H49" s="50"/>
      <c r="I49" s="50"/>
      <c r="J49" s="50"/>
      <c r="K49" s="50"/>
    </row>
    <row r="50" spans="1:11">
      <c r="A50" s="50"/>
      <c r="B50" s="50"/>
      <c r="C50" s="50"/>
      <c r="D50" s="50"/>
      <c r="E50" s="50"/>
      <c r="F50" s="50"/>
      <c r="G50" s="50"/>
      <c r="H50" s="50"/>
      <c r="I50" s="50"/>
      <c r="J50" s="50"/>
      <c r="K50" s="50"/>
    </row>
    <row r="51" spans="1:11">
      <c r="A51" s="50"/>
      <c r="B51" s="50"/>
      <c r="C51" s="50"/>
      <c r="D51" s="50"/>
      <c r="E51" s="50"/>
      <c r="F51" s="50"/>
      <c r="G51" s="50"/>
      <c r="H51" s="50"/>
      <c r="I51" s="50"/>
      <c r="J51" s="50"/>
      <c r="K51" s="50"/>
    </row>
    <row r="52" spans="1:11">
      <c r="A52" s="50"/>
      <c r="B52" s="50"/>
      <c r="C52" s="50"/>
      <c r="D52" s="50"/>
      <c r="E52" s="50"/>
      <c r="F52" s="50"/>
      <c r="G52" s="50"/>
      <c r="H52" s="50"/>
      <c r="I52" s="50"/>
      <c r="J52" s="50"/>
      <c r="K52" s="50"/>
    </row>
    <row r="53" spans="1:11">
      <c r="A53" s="50"/>
      <c r="B53" s="50"/>
      <c r="C53" s="50"/>
      <c r="D53" s="50"/>
      <c r="E53" s="50"/>
      <c r="F53" s="50"/>
      <c r="G53" s="50"/>
      <c r="H53" s="50"/>
      <c r="I53" s="50"/>
      <c r="J53" s="50"/>
      <c r="K53" s="50"/>
    </row>
    <row r="54" spans="1:11">
      <c r="A54" s="50"/>
      <c r="B54" s="50"/>
      <c r="C54" s="50"/>
      <c r="D54" s="50"/>
      <c r="E54" s="50"/>
      <c r="F54" s="50"/>
      <c r="G54" s="50"/>
      <c r="H54" s="50"/>
      <c r="I54" s="50"/>
      <c r="J54" s="50"/>
      <c r="K54" s="50"/>
    </row>
    <row r="55" spans="1:11">
      <c r="A55" s="50"/>
      <c r="B55" s="50"/>
      <c r="C55" s="50"/>
      <c r="D55" s="50"/>
      <c r="E55" s="50"/>
      <c r="F55" s="50"/>
      <c r="G55" s="50"/>
      <c r="H55" s="50"/>
      <c r="I55" s="50"/>
      <c r="J55" s="50"/>
      <c r="K55" s="50"/>
    </row>
    <row r="56" spans="1:11">
      <c r="A56" s="50"/>
      <c r="B56" s="50"/>
      <c r="C56" s="50"/>
      <c r="D56" s="50"/>
      <c r="E56" s="50"/>
      <c r="F56" s="50"/>
      <c r="G56" s="50"/>
      <c r="H56" s="50"/>
      <c r="I56" s="50"/>
      <c r="J56" s="50"/>
      <c r="K56" s="50"/>
    </row>
    <row r="57" spans="1:11">
      <c r="A57" s="50"/>
      <c r="B57" s="50"/>
      <c r="C57" s="50"/>
      <c r="D57" s="50"/>
      <c r="E57" s="50"/>
      <c r="F57" s="50"/>
      <c r="G57" s="50"/>
      <c r="H57" s="50"/>
      <c r="I57" s="50"/>
      <c r="J57" s="50"/>
      <c r="K57" s="50"/>
    </row>
    <row r="58" spans="1:11">
      <c r="A58" s="50"/>
      <c r="B58" s="50"/>
      <c r="C58" s="50"/>
      <c r="D58" s="50"/>
      <c r="E58" s="50"/>
      <c r="F58" s="50"/>
      <c r="G58" s="50"/>
      <c r="H58" s="50"/>
      <c r="I58" s="50"/>
      <c r="J58" s="50"/>
      <c r="K58" s="50"/>
    </row>
    <row r="59" spans="1:11">
      <c r="A59" s="50"/>
      <c r="B59" s="50"/>
      <c r="C59" s="50"/>
      <c r="D59" s="50"/>
      <c r="E59" s="50"/>
      <c r="F59" s="50"/>
      <c r="G59" s="50"/>
      <c r="H59" s="50"/>
      <c r="I59" s="50"/>
      <c r="J59" s="50"/>
      <c r="K59" s="50"/>
    </row>
    <row r="60" spans="1:11">
      <c r="A60" s="50"/>
      <c r="B60" s="50"/>
      <c r="C60" s="50"/>
      <c r="D60" s="50"/>
      <c r="E60" s="50"/>
      <c r="F60" s="50"/>
      <c r="G60" s="50"/>
      <c r="H60" s="50"/>
      <c r="I60" s="50"/>
      <c r="J60" s="50"/>
      <c r="K60" s="50"/>
    </row>
    <row r="61" spans="1:11">
      <c r="A61" s="50"/>
      <c r="B61" s="50"/>
      <c r="C61" s="50"/>
      <c r="D61" s="50"/>
      <c r="E61" s="50"/>
      <c r="F61" s="50"/>
      <c r="G61" s="50"/>
      <c r="H61" s="50"/>
      <c r="I61" s="50"/>
      <c r="J61" s="50"/>
      <c r="K61" s="50"/>
    </row>
    <row r="62" spans="1:11">
      <c r="A62" s="50"/>
      <c r="B62" s="50"/>
      <c r="C62" s="50"/>
      <c r="D62" s="50"/>
      <c r="E62" s="50"/>
      <c r="F62" s="50"/>
      <c r="G62" s="50"/>
      <c r="H62" s="50"/>
      <c r="I62" s="50"/>
      <c r="J62" s="50"/>
      <c r="K62" s="50"/>
    </row>
    <row r="63" spans="1:11">
      <c r="A63" s="50"/>
      <c r="B63" s="50"/>
      <c r="C63" s="50"/>
      <c r="D63" s="50"/>
      <c r="E63" s="50"/>
      <c r="F63" s="50"/>
      <c r="G63" s="50"/>
      <c r="H63" s="50"/>
      <c r="I63" s="50"/>
      <c r="J63" s="50"/>
      <c r="K63" s="50"/>
    </row>
    <row r="64" spans="1:11">
      <c r="A64" s="50"/>
      <c r="B64" s="50"/>
      <c r="C64" s="50"/>
      <c r="D64" s="50"/>
      <c r="E64" s="50"/>
      <c r="F64" s="50"/>
      <c r="G64" s="50"/>
      <c r="H64" s="50"/>
      <c r="I64" s="50"/>
      <c r="J64" s="50"/>
      <c r="K64" s="50"/>
    </row>
    <row r="65" spans="1:11">
      <c r="A65" s="50"/>
      <c r="B65" s="50"/>
      <c r="C65" s="50"/>
      <c r="D65" s="50"/>
      <c r="E65" s="50"/>
      <c r="F65" s="50"/>
      <c r="G65" s="50"/>
      <c r="H65" s="50"/>
      <c r="I65" s="50"/>
      <c r="J65" s="50"/>
      <c r="K65" s="50"/>
    </row>
    <row r="66" spans="1:11">
      <c r="A66" s="50"/>
      <c r="B66" s="50"/>
      <c r="C66" s="50"/>
      <c r="D66" s="50"/>
      <c r="E66" s="50"/>
      <c r="F66" s="50"/>
      <c r="G66" s="50"/>
      <c r="H66" s="50"/>
      <c r="I66" s="50"/>
      <c r="J66" s="50"/>
      <c r="K66" s="50"/>
    </row>
    <row r="67" spans="1:11">
      <c r="A67" s="50"/>
      <c r="B67" s="50"/>
      <c r="C67" s="50"/>
      <c r="D67" s="50"/>
      <c r="E67" s="50"/>
      <c r="F67" s="50"/>
      <c r="G67" s="50"/>
      <c r="H67" s="50"/>
      <c r="I67" s="50"/>
      <c r="J67" s="50"/>
      <c r="K67" s="50"/>
    </row>
    <row r="68" spans="1:11">
      <c r="A68" s="50"/>
      <c r="B68" s="50"/>
      <c r="C68" s="50"/>
      <c r="D68" s="50"/>
      <c r="E68" s="50"/>
      <c r="F68" s="50"/>
      <c r="G68" s="50"/>
      <c r="H68" s="50"/>
      <c r="I68" s="50"/>
      <c r="J68" s="50"/>
      <c r="K68" s="50"/>
    </row>
    <row r="69" spans="1:11">
      <c r="A69" s="50"/>
      <c r="B69" s="50"/>
      <c r="C69" s="50"/>
      <c r="D69" s="50"/>
      <c r="E69" s="50"/>
      <c r="F69" s="50"/>
      <c r="G69" s="50"/>
      <c r="H69" s="50"/>
      <c r="I69" s="50"/>
      <c r="J69" s="50"/>
      <c r="K69" s="50"/>
    </row>
    <row r="70" spans="1:11">
      <c r="A70" s="50"/>
      <c r="B70" s="50"/>
      <c r="C70" s="50"/>
      <c r="D70" s="50"/>
      <c r="E70" s="50"/>
      <c r="F70" s="50"/>
      <c r="G70" s="50"/>
      <c r="H70" s="50"/>
      <c r="I70" s="50"/>
      <c r="J70" s="50"/>
      <c r="K70" s="50"/>
    </row>
    <row r="71" spans="1:11">
      <c r="A71" s="50"/>
      <c r="B71" s="50"/>
      <c r="C71" s="50"/>
      <c r="D71" s="50"/>
      <c r="E71" s="50"/>
      <c r="F71" s="50"/>
      <c r="G71" s="50"/>
      <c r="H71" s="50"/>
      <c r="I71" s="50"/>
      <c r="J71" s="50"/>
      <c r="K71" s="50"/>
    </row>
    <row r="72" spans="1:11">
      <c r="A72" s="50"/>
      <c r="B72" s="50"/>
      <c r="C72" s="50"/>
      <c r="D72" s="50"/>
      <c r="E72" s="50"/>
      <c r="F72" s="50"/>
      <c r="G72" s="50"/>
      <c r="H72" s="50"/>
      <c r="I72" s="50"/>
      <c r="J72" s="50"/>
      <c r="K72" s="50"/>
    </row>
    <row r="73" spans="1:11">
      <c r="A73" s="50"/>
      <c r="B73" s="50"/>
      <c r="C73" s="50"/>
      <c r="D73" s="50"/>
      <c r="E73" s="50"/>
      <c r="F73" s="50"/>
      <c r="G73" s="50"/>
      <c r="H73" s="50"/>
      <c r="I73" s="50"/>
      <c r="J73" s="50"/>
      <c r="K73" s="50"/>
    </row>
    <row r="74" spans="1:11">
      <c r="A74" s="50"/>
      <c r="B74" s="50"/>
      <c r="C74" s="50"/>
      <c r="D74" s="50"/>
      <c r="E74" s="50"/>
      <c r="F74" s="50"/>
      <c r="G74" s="50"/>
      <c r="H74" s="50"/>
      <c r="I74" s="50"/>
      <c r="J74" s="50"/>
      <c r="K74" s="50"/>
    </row>
    <row r="75" spans="1:11">
      <c r="A75" s="50"/>
      <c r="B75" s="50"/>
      <c r="C75" s="50"/>
      <c r="D75" s="50"/>
      <c r="E75" s="50"/>
      <c r="F75" s="50"/>
      <c r="G75" s="50"/>
      <c r="H75" s="50"/>
      <c r="I75" s="50"/>
      <c r="J75" s="50"/>
      <c r="K75" s="50"/>
    </row>
    <row r="76" spans="1:11">
      <c r="A76" s="50"/>
      <c r="B76" s="50"/>
      <c r="C76" s="50"/>
      <c r="D76" s="50"/>
      <c r="E76" s="50"/>
      <c r="F76" s="50"/>
      <c r="G76" s="50"/>
      <c r="H76" s="50"/>
      <c r="I76" s="50"/>
      <c r="J76" s="50"/>
      <c r="K76" s="50"/>
    </row>
    <row r="77" spans="1:11">
      <c r="A77" s="50"/>
      <c r="B77" s="50"/>
      <c r="C77" s="50"/>
      <c r="D77" s="50"/>
      <c r="E77" s="50"/>
      <c r="F77" s="50"/>
      <c r="G77" s="50"/>
      <c r="H77" s="50"/>
      <c r="I77" s="50"/>
      <c r="J77" s="50"/>
      <c r="K77" s="50"/>
    </row>
    <row r="78" spans="1:11">
      <c r="A78" s="50"/>
      <c r="B78" s="50"/>
      <c r="C78" s="50"/>
      <c r="D78" s="50"/>
      <c r="E78" s="50"/>
      <c r="F78" s="50"/>
      <c r="G78" s="50"/>
      <c r="H78" s="50"/>
      <c r="I78" s="50"/>
      <c r="J78" s="50"/>
      <c r="K78" s="50"/>
    </row>
    <row r="79" spans="1:11">
      <c r="A79" s="50"/>
      <c r="B79" s="50"/>
      <c r="C79" s="50"/>
      <c r="D79" s="50"/>
      <c r="E79" s="50"/>
      <c r="F79" s="50"/>
      <c r="G79" s="50"/>
      <c r="H79" s="50"/>
      <c r="I79" s="50"/>
      <c r="J79" s="50"/>
      <c r="K79" s="50"/>
    </row>
    <row r="80" spans="1:11">
      <c r="A80" s="50"/>
      <c r="B80" s="50"/>
      <c r="C80" s="50"/>
      <c r="D80" s="50"/>
      <c r="E80" s="50"/>
      <c r="F80" s="50"/>
      <c r="G80" s="50"/>
      <c r="H80" s="50"/>
      <c r="I80" s="50"/>
      <c r="J80" s="50"/>
      <c r="K80" s="50"/>
    </row>
    <row r="81" spans="1:11">
      <c r="A81" s="50"/>
      <c r="B81" s="50"/>
      <c r="C81" s="50"/>
      <c r="D81" s="50"/>
      <c r="E81" s="50"/>
      <c r="F81" s="50"/>
      <c r="G81" s="50"/>
      <c r="H81" s="50"/>
      <c r="I81" s="50"/>
      <c r="J81" s="50"/>
      <c r="K81" s="50"/>
    </row>
    <row r="82" spans="1:11">
      <c r="A82" s="50"/>
      <c r="B82" s="50"/>
      <c r="C82" s="50"/>
      <c r="D82" s="50"/>
      <c r="E82" s="50"/>
      <c r="F82" s="50"/>
      <c r="G82" s="50"/>
      <c r="H82" s="50"/>
      <c r="I82" s="50"/>
      <c r="J82" s="50"/>
      <c r="K82" s="50"/>
    </row>
    <row r="83" spans="1:11">
      <c r="A83" s="50"/>
      <c r="B83" s="50"/>
      <c r="C83" s="50"/>
      <c r="D83" s="50"/>
      <c r="E83" s="50"/>
      <c r="F83" s="50"/>
      <c r="G83" s="50"/>
      <c r="H83" s="50"/>
      <c r="I83" s="50"/>
      <c r="J83" s="50"/>
      <c r="K83" s="50"/>
    </row>
    <row r="84" spans="1:11">
      <c r="A84" s="50"/>
      <c r="B84" s="50"/>
      <c r="C84" s="50"/>
      <c r="D84" s="50"/>
      <c r="E84" s="50"/>
      <c r="F84" s="50"/>
      <c r="G84" s="50"/>
      <c r="H84" s="50"/>
      <c r="I84" s="50"/>
      <c r="J84" s="50"/>
      <c r="K84" s="50"/>
    </row>
    <row r="85" spans="1:11">
      <c r="A85" s="50"/>
      <c r="B85" s="50"/>
      <c r="C85" s="50"/>
      <c r="D85" s="50"/>
      <c r="E85" s="50"/>
      <c r="F85" s="50"/>
      <c r="G85" s="50"/>
      <c r="H85" s="50"/>
      <c r="I85" s="50"/>
      <c r="J85" s="50"/>
      <c r="K85" s="50"/>
    </row>
    <row r="86" spans="1:11">
      <c r="A86" s="50"/>
      <c r="B86" s="50"/>
      <c r="C86" s="50"/>
      <c r="D86" s="50"/>
      <c r="E86" s="50"/>
      <c r="F86" s="50"/>
      <c r="G86" s="50"/>
      <c r="H86" s="50"/>
      <c r="I86" s="50"/>
      <c r="J86" s="50"/>
      <c r="K86" s="50"/>
    </row>
    <row r="87" spans="1:11">
      <c r="A87" s="50"/>
      <c r="B87" s="50"/>
      <c r="C87" s="50"/>
      <c r="D87" s="50"/>
      <c r="E87" s="50"/>
      <c r="F87" s="50"/>
      <c r="G87" s="50"/>
      <c r="H87" s="50"/>
      <c r="I87" s="50"/>
      <c r="J87" s="50"/>
      <c r="K87" s="50"/>
    </row>
    <row r="88" spans="1:11">
      <c r="A88" s="50"/>
      <c r="B88" s="50"/>
      <c r="C88" s="50"/>
      <c r="D88" s="50"/>
      <c r="E88" s="50"/>
      <c r="F88" s="50"/>
      <c r="G88" s="50"/>
      <c r="H88" s="50"/>
      <c r="I88" s="50"/>
      <c r="J88" s="50"/>
      <c r="K88" s="50"/>
    </row>
    <row r="89" spans="1:11">
      <c r="A89" s="50"/>
      <c r="B89" s="50"/>
      <c r="C89" s="50"/>
      <c r="D89" s="50"/>
      <c r="E89" s="50"/>
      <c r="F89" s="50"/>
      <c r="G89" s="50"/>
      <c r="H89" s="50"/>
      <c r="I89" s="50"/>
      <c r="J89" s="50"/>
      <c r="K89" s="50"/>
    </row>
    <row r="90" spans="1:11">
      <c r="A90" s="50"/>
      <c r="B90" s="50"/>
      <c r="C90" s="50"/>
      <c r="D90" s="50"/>
      <c r="E90" s="50"/>
      <c r="F90" s="50"/>
      <c r="G90" s="50"/>
      <c r="H90" s="50"/>
      <c r="I90" s="50"/>
      <c r="J90" s="50"/>
      <c r="K90" s="50"/>
    </row>
    <row r="91" spans="1:11">
      <c r="A91" s="50"/>
      <c r="B91" s="50"/>
      <c r="C91" s="50"/>
      <c r="D91" s="50"/>
      <c r="E91" s="50"/>
      <c r="F91" s="50"/>
      <c r="G91" s="50"/>
      <c r="H91" s="50"/>
      <c r="I91" s="50"/>
      <c r="J91" s="50"/>
      <c r="K91" s="50"/>
    </row>
    <row r="92" spans="1:11">
      <c r="A92" s="50"/>
      <c r="B92" s="50"/>
      <c r="C92" s="50"/>
      <c r="D92" s="50"/>
      <c r="E92" s="50"/>
      <c r="F92" s="50"/>
      <c r="G92" s="50"/>
      <c r="H92" s="50"/>
      <c r="I92" s="50"/>
      <c r="J92" s="50"/>
      <c r="K92" s="50"/>
    </row>
    <row r="93" spans="1:11">
      <c r="A93" s="50"/>
      <c r="B93" s="50"/>
      <c r="C93" s="50"/>
      <c r="D93" s="50"/>
      <c r="E93" s="50"/>
      <c r="F93" s="50"/>
      <c r="G93" s="50"/>
      <c r="H93" s="50"/>
      <c r="I93" s="50"/>
      <c r="J93" s="50"/>
      <c r="K93" s="50"/>
    </row>
    <row r="94" spans="1:11">
      <c r="A94" s="50"/>
      <c r="B94" s="50"/>
      <c r="C94" s="50"/>
      <c r="D94" s="50"/>
      <c r="E94" s="50"/>
      <c r="F94" s="50"/>
      <c r="G94" s="50"/>
      <c r="H94" s="50"/>
      <c r="I94" s="50"/>
      <c r="J94" s="50"/>
      <c r="K94" s="50"/>
    </row>
    <row r="95" spans="1:11">
      <c r="A95" s="50"/>
      <c r="B95" s="50"/>
      <c r="C95" s="50"/>
      <c r="D95" s="50"/>
      <c r="E95" s="50"/>
      <c r="F95" s="50"/>
      <c r="G95" s="50"/>
      <c r="H95" s="50"/>
      <c r="I95" s="50"/>
      <c r="J95" s="50"/>
      <c r="K95" s="50"/>
    </row>
    <row r="96" spans="1:11">
      <c r="A96" s="50"/>
      <c r="B96" s="50"/>
      <c r="C96" s="50"/>
      <c r="D96" s="50"/>
      <c r="E96" s="50"/>
      <c r="F96" s="50"/>
      <c r="G96" s="50"/>
      <c r="H96" s="50"/>
      <c r="I96" s="50"/>
      <c r="J96" s="50"/>
      <c r="K96" s="50"/>
    </row>
    <row r="97" spans="1:11">
      <c r="A97" s="50"/>
      <c r="B97" s="50"/>
      <c r="C97" s="50"/>
      <c r="D97" s="50"/>
      <c r="E97" s="50"/>
      <c r="F97" s="50"/>
      <c r="G97" s="50"/>
      <c r="H97" s="50"/>
      <c r="I97" s="50"/>
      <c r="J97" s="50"/>
      <c r="K97" s="50"/>
    </row>
    <row r="98" spans="1:11">
      <c r="A98" s="50"/>
      <c r="B98" s="50"/>
      <c r="C98" s="50"/>
      <c r="D98" s="50"/>
      <c r="E98" s="50"/>
      <c r="F98" s="50"/>
      <c r="G98" s="50"/>
      <c r="H98" s="50"/>
      <c r="I98" s="50"/>
      <c r="J98" s="50"/>
      <c r="K98" s="50"/>
    </row>
    <row r="99" spans="1:11">
      <c r="A99" s="50"/>
      <c r="B99" s="50"/>
      <c r="C99" s="50"/>
      <c r="D99" s="50"/>
      <c r="E99" s="50"/>
      <c r="F99" s="50"/>
      <c r="G99" s="50"/>
      <c r="H99" s="50"/>
      <c r="I99" s="50"/>
      <c r="J99" s="50"/>
      <c r="K99" s="50"/>
    </row>
    <row r="100" spans="1:11">
      <c r="A100" s="50"/>
      <c r="B100" s="50"/>
      <c r="C100" s="50"/>
      <c r="D100" s="50"/>
      <c r="E100" s="50"/>
      <c r="F100" s="50"/>
      <c r="G100" s="50"/>
      <c r="H100" s="50"/>
      <c r="I100" s="50"/>
      <c r="J100" s="50"/>
      <c r="K100" s="50"/>
    </row>
    <row r="101" spans="1:11">
      <c r="A101" s="50"/>
      <c r="B101" s="50"/>
      <c r="C101" s="50"/>
      <c r="D101" s="50"/>
      <c r="E101" s="50"/>
      <c r="F101" s="50"/>
      <c r="G101" s="50"/>
      <c r="H101" s="50"/>
      <c r="I101" s="50"/>
      <c r="J101" s="50"/>
      <c r="K101" s="50"/>
    </row>
    <row r="102" spans="1:11">
      <c r="A102" s="50"/>
      <c r="B102" s="50"/>
      <c r="C102" s="50"/>
      <c r="D102" s="50"/>
      <c r="E102" s="50"/>
      <c r="F102" s="50"/>
      <c r="G102" s="50"/>
      <c r="H102" s="50"/>
      <c r="I102" s="50"/>
      <c r="J102" s="50"/>
      <c r="K102" s="50"/>
    </row>
    <row r="103" spans="1:11">
      <c r="A103" s="50"/>
      <c r="B103" s="50"/>
      <c r="C103" s="50"/>
      <c r="D103" s="50"/>
      <c r="E103" s="50"/>
      <c r="F103" s="50"/>
      <c r="G103" s="50"/>
      <c r="H103" s="50"/>
      <c r="I103" s="50"/>
      <c r="J103" s="50"/>
      <c r="K103" s="50"/>
    </row>
    <row r="104" spans="1:11">
      <c r="A104" s="50"/>
      <c r="B104" s="50"/>
      <c r="C104" s="50"/>
      <c r="D104" s="50"/>
      <c r="E104" s="50"/>
      <c r="F104" s="50"/>
      <c r="G104" s="50"/>
      <c r="H104" s="50"/>
      <c r="I104" s="50"/>
      <c r="J104" s="50"/>
      <c r="K104" s="50"/>
    </row>
    <row r="105" spans="1:11">
      <c r="A105" s="50"/>
      <c r="B105" s="50"/>
      <c r="C105" s="50"/>
      <c r="D105" s="50"/>
      <c r="E105" s="50"/>
      <c r="F105" s="50"/>
      <c r="G105" s="50"/>
      <c r="H105" s="50"/>
      <c r="I105" s="50"/>
      <c r="J105" s="50"/>
      <c r="K105" s="50"/>
    </row>
    <row r="106" spans="1:11">
      <c r="A106" s="50"/>
      <c r="B106" s="50"/>
      <c r="C106" s="50"/>
      <c r="D106" s="50"/>
      <c r="E106" s="50"/>
      <c r="F106" s="50"/>
      <c r="G106" s="50"/>
      <c r="H106" s="50"/>
      <c r="I106" s="50"/>
      <c r="J106" s="50"/>
      <c r="K106" s="50"/>
    </row>
    <row r="107" spans="1:11">
      <c r="A107" s="50"/>
      <c r="B107" s="50"/>
      <c r="C107" s="50"/>
      <c r="D107" s="50"/>
      <c r="E107" s="50"/>
      <c r="F107" s="50"/>
      <c r="G107" s="50"/>
      <c r="H107" s="50"/>
      <c r="I107" s="50"/>
      <c r="J107" s="50"/>
      <c r="K107" s="50"/>
    </row>
    <row r="108" spans="1:11">
      <c r="A108" s="50"/>
      <c r="B108" s="50"/>
      <c r="C108" s="50"/>
      <c r="D108" s="50"/>
      <c r="E108" s="50"/>
      <c r="F108" s="50"/>
      <c r="G108" s="50"/>
      <c r="H108" s="50"/>
      <c r="I108" s="50"/>
      <c r="J108" s="50"/>
      <c r="K108" s="50"/>
    </row>
    <row r="109" spans="1:11">
      <c r="A109" s="50"/>
      <c r="B109" s="50"/>
      <c r="C109" s="50"/>
      <c r="D109" s="50"/>
      <c r="E109" s="50"/>
      <c r="F109" s="50"/>
      <c r="G109" s="50"/>
      <c r="H109" s="50"/>
      <c r="I109" s="50"/>
      <c r="J109" s="50"/>
      <c r="K109" s="50"/>
    </row>
    <row r="110" spans="1:11">
      <c r="A110" s="50"/>
      <c r="B110" s="50"/>
      <c r="C110" s="50"/>
      <c r="D110" s="50"/>
      <c r="E110" s="50"/>
      <c r="F110" s="50"/>
      <c r="G110" s="50"/>
      <c r="H110" s="50"/>
      <c r="I110" s="50"/>
      <c r="J110" s="50"/>
      <c r="K110" s="50"/>
    </row>
    <row r="111" spans="1:11">
      <c r="A111" s="50"/>
      <c r="B111" s="50"/>
      <c r="C111" s="50"/>
      <c r="D111" s="50"/>
      <c r="E111" s="50"/>
      <c r="F111" s="50"/>
      <c r="G111" s="50"/>
      <c r="H111" s="50"/>
      <c r="I111" s="50"/>
      <c r="J111" s="50"/>
      <c r="K111" s="50"/>
    </row>
    <row r="112" spans="1:11">
      <c r="A112" s="50"/>
      <c r="B112" s="50"/>
      <c r="C112" s="50"/>
      <c r="D112" s="50"/>
      <c r="E112" s="50"/>
      <c r="F112" s="50"/>
      <c r="G112" s="50"/>
      <c r="H112" s="50"/>
      <c r="I112" s="50"/>
      <c r="J112" s="50"/>
      <c r="K112" s="50"/>
    </row>
    <row r="113" spans="1:11">
      <c r="A113" s="50"/>
      <c r="B113" s="50"/>
      <c r="C113" s="50"/>
      <c r="D113" s="50"/>
      <c r="E113" s="50"/>
      <c r="F113" s="50"/>
      <c r="G113" s="50"/>
      <c r="H113" s="50"/>
      <c r="I113" s="50"/>
      <c r="J113" s="50"/>
      <c r="K113" s="50"/>
    </row>
    <row r="114" spans="1:11">
      <c r="A114" s="50"/>
      <c r="B114" s="50"/>
      <c r="C114" s="50"/>
      <c r="D114" s="50"/>
      <c r="E114" s="50"/>
      <c r="F114" s="50"/>
      <c r="G114" s="50"/>
      <c r="H114" s="50"/>
      <c r="I114" s="50"/>
      <c r="J114" s="50"/>
      <c r="K114" s="50"/>
    </row>
    <row r="115" spans="1:11">
      <c r="A115" s="50"/>
      <c r="B115" s="50"/>
      <c r="C115" s="50"/>
      <c r="D115" s="50"/>
      <c r="E115" s="50"/>
      <c r="F115" s="50"/>
      <c r="G115" s="50"/>
      <c r="H115" s="50"/>
      <c r="I115" s="50"/>
      <c r="J115" s="50"/>
      <c r="K115" s="50"/>
    </row>
    <row r="116" spans="1:11">
      <c r="A116" s="50"/>
      <c r="B116" s="50"/>
      <c r="C116" s="50"/>
      <c r="D116" s="50"/>
      <c r="E116" s="50"/>
      <c r="F116" s="50"/>
      <c r="G116" s="50"/>
      <c r="H116" s="50"/>
      <c r="I116" s="50"/>
      <c r="J116" s="50"/>
      <c r="K116" s="50"/>
    </row>
    <row r="117" spans="1:11">
      <c r="A117" s="50"/>
      <c r="B117" s="50"/>
      <c r="C117" s="50"/>
      <c r="D117" s="50"/>
      <c r="E117" s="50"/>
      <c r="F117" s="50"/>
      <c r="G117" s="50"/>
      <c r="H117" s="50"/>
      <c r="I117" s="50"/>
      <c r="J117" s="50"/>
      <c r="K117" s="50"/>
    </row>
    <row r="118" spans="1:11">
      <c r="A118" s="50"/>
      <c r="B118" s="50"/>
      <c r="C118" s="50"/>
      <c r="D118" s="50"/>
      <c r="E118" s="50"/>
      <c r="F118" s="50"/>
      <c r="G118" s="50"/>
      <c r="H118" s="50"/>
      <c r="I118" s="50"/>
      <c r="J118" s="50"/>
      <c r="K118" s="50"/>
    </row>
    <row r="119" spans="1:11">
      <c r="A119" s="50"/>
      <c r="B119" s="50"/>
      <c r="C119" s="50"/>
      <c r="D119" s="50"/>
      <c r="E119" s="50"/>
      <c r="F119" s="50"/>
      <c r="G119" s="50"/>
      <c r="H119" s="50"/>
      <c r="I119" s="50"/>
      <c r="J119" s="50"/>
      <c r="K119" s="50"/>
    </row>
    <row r="120" spans="1:11">
      <c r="A120" s="50"/>
      <c r="B120" s="50"/>
      <c r="C120" s="50"/>
      <c r="D120" s="50"/>
      <c r="E120" s="50"/>
      <c r="F120" s="50"/>
      <c r="G120" s="50"/>
      <c r="H120" s="50"/>
      <c r="I120" s="50"/>
      <c r="J120" s="50"/>
      <c r="K120" s="50"/>
    </row>
    <row r="121" spans="1:11">
      <c r="A121" s="50"/>
      <c r="B121" s="50"/>
      <c r="C121" s="50"/>
      <c r="D121" s="50"/>
      <c r="E121" s="50"/>
      <c r="F121" s="50"/>
      <c r="G121" s="50"/>
      <c r="H121" s="50"/>
      <c r="I121" s="50"/>
      <c r="J121" s="50"/>
      <c r="K121" s="50"/>
    </row>
    <row r="122" spans="1:11">
      <c r="A122" s="50"/>
      <c r="B122" s="50"/>
      <c r="C122" s="50"/>
      <c r="D122" s="50"/>
      <c r="E122" s="50"/>
      <c r="F122" s="50"/>
      <c r="G122" s="50"/>
      <c r="H122" s="50"/>
      <c r="I122" s="50"/>
      <c r="J122" s="50"/>
      <c r="K122" s="50"/>
    </row>
    <row r="123" spans="1:11">
      <c r="A123" s="50"/>
      <c r="B123" s="50"/>
      <c r="C123" s="50"/>
      <c r="D123" s="50"/>
      <c r="E123" s="50"/>
      <c r="F123" s="50"/>
      <c r="G123" s="50"/>
      <c r="H123" s="50"/>
      <c r="I123" s="50"/>
      <c r="J123" s="50"/>
      <c r="K123" s="50"/>
    </row>
    <row r="124" spans="1:11">
      <c r="A124" s="50"/>
      <c r="B124" s="50"/>
      <c r="C124" s="50"/>
      <c r="D124" s="50"/>
      <c r="E124" s="50"/>
      <c r="F124" s="50"/>
      <c r="G124" s="50"/>
      <c r="H124" s="50"/>
      <c r="I124" s="50"/>
      <c r="J124" s="50"/>
      <c r="K124" s="50"/>
    </row>
    <row r="125" spans="1:11">
      <c r="A125" s="50"/>
      <c r="B125" s="50"/>
      <c r="C125" s="50"/>
      <c r="D125" s="50"/>
      <c r="E125" s="50"/>
      <c r="F125" s="50"/>
      <c r="G125" s="50"/>
      <c r="H125" s="50"/>
      <c r="I125" s="50"/>
      <c r="J125" s="50"/>
      <c r="K125" s="50"/>
    </row>
    <row r="126" spans="1:11">
      <c r="A126" s="50"/>
      <c r="B126" s="50"/>
      <c r="C126" s="50"/>
      <c r="D126" s="50"/>
      <c r="E126" s="50"/>
      <c r="F126" s="50"/>
      <c r="G126" s="50"/>
      <c r="H126" s="50"/>
      <c r="I126" s="50"/>
      <c r="J126" s="50"/>
      <c r="K126" s="50"/>
    </row>
    <row r="127" spans="1:11">
      <c r="A127" s="50"/>
      <c r="B127" s="50"/>
      <c r="C127" s="50"/>
      <c r="D127" s="50"/>
      <c r="E127" s="50"/>
      <c r="F127" s="50"/>
      <c r="G127" s="50"/>
      <c r="H127" s="50"/>
      <c r="I127" s="50"/>
      <c r="J127" s="50"/>
      <c r="K127" s="50"/>
    </row>
    <row r="128" spans="1:11">
      <c r="A128" s="50"/>
      <c r="B128" s="50"/>
      <c r="C128" s="50"/>
      <c r="D128" s="50"/>
      <c r="E128" s="50"/>
      <c r="F128" s="50"/>
      <c r="G128" s="50"/>
      <c r="H128" s="50"/>
      <c r="I128" s="50"/>
      <c r="J128" s="50"/>
      <c r="K128" s="50"/>
    </row>
    <row r="129" spans="1:11">
      <c r="A129" s="50"/>
      <c r="B129" s="50"/>
      <c r="C129" s="50"/>
      <c r="D129" s="50"/>
      <c r="E129" s="50"/>
      <c r="F129" s="50"/>
      <c r="G129" s="50"/>
      <c r="H129" s="50"/>
      <c r="I129" s="50"/>
      <c r="J129" s="50"/>
      <c r="K129" s="50"/>
    </row>
    <row r="130" spans="1:11">
      <c r="A130" s="50"/>
      <c r="B130" s="50"/>
      <c r="C130" s="50"/>
      <c r="D130" s="50"/>
      <c r="E130" s="50"/>
      <c r="F130" s="50"/>
      <c r="G130" s="50"/>
      <c r="H130" s="50"/>
      <c r="I130" s="50"/>
      <c r="J130" s="50"/>
      <c r="K130" s="50"/>
    </row>
    <row r="131" spans="1:11">
      <c r="A131" s="50"/>
      <c r="B131" s="50"/>
      <c r="C131" s="50"/>
      <c r="D131" s="50"/>
      <c r="E131" s="50"/>
      <c r="F131" s="50"/>
      <c r="G131" s="50"/>
      <c r="H131" s="50"/>
      <c r="I131" s="50"/>
      <c r="J131" s="50"/>
      <c r="K131" s="50"/>
    </row>
    <row r="132" spans="1:11">
      <c r="A132" s="50"/>
      <c r="B132" s="50"/>
      <c r="C132" s="50"/>
      <c r="D132" s="50"/>
      <c r="E132" s="50"/>
      <c r="F132" s="50"/>
      <c r="G132" s="50"/>
      <c r="H132" s="50"/>
      <c r="I132" s="50"/>
      <c r="J132" s="50"/>
      <c r="K132" s="50"/>
    </row>
    <row r="133" spans="1:11">
      <c r="A133" s="50"/>
      <c r="B133" s="50"/>
      <c r="C133" s="50"/>
      <c r="D133" s="50"/>
      <c r="E133" s="50"/>
      <c r="F133" s="50"/>
      <c r="G133" s="50"/>
      <c r="H133" s="50"/>
      <c r="I133" s="50"/>
      <c r="J133" s="50"/>
      <c r="K133" s="50"/>
    </row>
    <row r="134" spans="1:11">
      <c r="A134" s="50"/>
      <c r="B134" s="50"/>
      <c r="C134" s="50"/>
      <c r="D134" s="50"/>
      <c r="E134" s="50"/>
      <c r="F134" s="50"/>
      <c r="G134" s="50"/>
      <c r="H134" s="50"/>
      <c r="I134" s="50"/>
      <c r="J134" s="50"/>
      <c r="K134" s="50"/>
    </row>
    <row r="135" spans="1:11">
      <c r="A135" s="50"/>
      <c r="B135" s="50"/>
      <c r="C135" s="50"/>
      <c r="D135" s="50"/>
      <c r="E135" s="50"/>
      <c r="F135" s="50"/>
      <c r="G135" s="50"/>
      <c r="H135" s="50"/>
      <c r="I135" s="50"/>
      <c r="J135" s="50"/>
      <c r="K135" s="50"/>
    </row>
    <row r="136" spans="1:11">
      <c r="A136" s="50"/>
      <c r="B136" s="50"/>
      <c r="C136" s="50"/>
      <c r="D136" s="50"/>
      <c r="E136" s="50"/>
      <c r="F136" s="50"/>
      <c r="G136" s="50"/>
      <c r="H136" s="50"/>
      <c r="I136" s="50"/>
      <c r="J136" s="50"/>
      <c r="K136" s="50"/>
    </row>
    <row r="137" spans="1:11">
      <c r="A137" s="50"/>
      <c r="B137" s="50"/>
      <c r="C137" s="50"/>
      <c r="D137" s="50"/>
      <c r="E137" s="50"/>
      <c r="F137" s="50"/>
      <c r="G137" s="50"/>
      <c r="H137" s="50"/>
      <c r="I137" s="50"/>
      <c r="J137" s="50"/>
      <c r="K137" s="50"/>
    </row>
    <row r="138" spans="1:11">
      <c r="A138" s="50"/>
      <c r="B138" s="50"/>
      <c r="C138" s="50"/>
      <c r="D138" s="50"/>
      <c r="E138" s="50"/>
      <c r="F138" s="50"/>
      <c r="G138" s="50"/>
      <c r="H138" s="50"/>
      <c r="I138" s="50"/>
      <c r="J138" s="50"/>
      <c r="K138" s="50"/>
    </row>
    <row r="139" spans="1:11">
      <c r="A139" s="50"/>
      <c r="B139" s="50"/>
      <c r="C139" s="50"/>
      <c r="D139" s="50"/>
      <c r="E139" s="50"/>
      <c r="F139" s="50"/>
      <c r="G139" s="50"/>
      <c r="H139" s="50"/>
      <c r="I139" s="50"/>
      <c r="J139" s="50"/>
      <c r="K139" s="50"/>
    </row>
    <row r="140" spans="1:11">
      <c r="A140" s="50"/>
      <c r="B140" s="50"/>
      <c r="C140" s="50"/>
      <c r="D140" s="50"/>
      <c r="E140" s="50"/>
      <c r="F140" s="50"/>
      <c r="G140" s="50"/>
      <c r="H140" s="50"/>
      <c r="I140" s="50"/>
      <c r="J140" s="50"/>
      <c r="K140" s="50"/>
    </row>
    <row r="141" spans="1:11">
      <c r="A141" s="50"/>
      <c r="B141" s="50"/>
      <c r="C141" s="50"/>
      <c r="D141" s="50"/>
      <c r="E141" s="50"/>
      <c r="F141" s="50"/>
      <c r="G141" s="50"/>
      <c r="H141" s="50"/>
      <c r="I141" s="50"/>
      <c r="J141" s="50"/>
      <c r="K141" s="50"/>
    </row>
    <row r="142" spans="1:11">
      <c r="A142" s="50"/>
      <c r="B142" s="50"/>
      <c r="C142" s="50"/>
      <c r="D142" s="50"/>
      <c r="E142" s="50"/>
      <c r="F142" s="50"/>
      <c r="G142" s="50"/>
      <c r="H142" s="50"/>
      <c r="I142" s="50"/>
      <c r="J142" s="50"/>
      <c r="K142" s="50"/>
    </row>
    <row r="143" spans="1:11">
      <c r="A143" s="50"/>
      <c r="B143" s="50"/>
      <c r="C143" s="50"/>
      <c r="D143" s="50"/>
      <c r="E143" s="50"/>
      <c r="F143" s="50"/>
      <c r="G143" s="50"/>
      <c r="H143" s="50"/>
      <c r="I143" s="50"/>
      <c r="J143" s="50"/>
      <c r="K143" s="50"/>
    </row>
    <row r="144" spans="1:11">
      <c r="A144" s="50"/>
      <c r="B144" s="50"/>
      <c r="C144" s="50"/>
      <c r="D144" s="50"/>
      <c r="E144" s="50"/>
      <c r="F144" s="50"/>
      <c r="G144" s="50"/>
      <c r="H144" s="50"/>
      <c r="I144" s="50"/>
      <c r="J144" s="50"/>
      <c r="K144" s="50"/>
    </row>
    <row r="145" spans="1:11">
      <c r="A145" s="50"/>
      <c r="B145" s="50"/>
      <c r="C145" s="50"/>
      <c r="D145" s="50"/>
      <c r="E145" s="50"/>
      <c r="F145" s="50"/>
      <c r="G145" s="50"/>
      <c r="H145" s="50"/>
      <c r="I145" s="50"/>
      <c r="J145" s="50"/>
      <c r="K145" s="50"/>
    </row>
    <row r="146" spans="1:11">
      <c r="A146" s="50"/>
      <c r="B146" s="50"/>
      <c r="C146" s="50"/>
      <c r="D146" s="50"/>
      <c r="E146" s="50"/>
      <c r="F146" s="50"/>
      <c r="G146" s="50"/>
      <c r="H146" s="50"/>
      <c r="I146" s="50"/>
      <c r="J146" s="50"/>
      <c r="K146" s="50"/>
    </row>
    <row r="147" spans="1:11">
      <c r="A147" s="50"/>
      <c r="B147" s="50"/>
      <c r="C147" s="50"/>
      <c r="D147" s="50"/>
      <c r="E147" s="50"/>
      <c r="F147" s="50"/>
      <c r="G147" s="50"/>
      <c r="H147" s="50"/>
      <c r="I147" s="50"/>
      <c r="J147" s="50"/>
      <c r="K147" s="50"/>
    </row>
    <row r="148" spans="1:11">
      <c r="A148" s="50"/>
      <c r="B148" s="50"/>
      <c r="C148" s="50"/>
      <c r="D148" s="50"/>
      <c r="E148" s="50"/>
      <c r="F148" s="50"/>
      <c r="G148" s="50"/>
      <c r="H148" s="50"/>
      <c r="I148" s="50"/>
      <c r="J148" s="50"/>
      <c r="K148" s="50"/>
    </row>
    <row r="149" spans="1:11">
      <c r="A149" s="50"/>
      <c r="B149" s="50"/>
      <c r="C149" s="50"/>
      <c r="D149" s="50"/>
      <c r="E149" s="50"/>
      <c r="F149" s="50"/>
      <c r="G149" s="50"/>
      <c r="H149" s="50"/>
      <c r="I149" s="50"/>
      <c r="J149" s="50"/>
      <c r="K149" s="50"/>
    </row>
    <row r="150" spans="1:11">
      <c r="A150" s="50"/>
      <c r="B150" s="50"/>
      <c r="C150" s="50"/>
      <c r="D150" s="50"/>
      <c r="E150" s="50"/>
      <c r="F150" s="50"/>
      <c r="G150" s="50"/>
      <c r="H150" s="50"/>
      <c r="I150" s="50"/>
      <c r="J150" s="50"/>
      <c r="K150" s="50"/>
    </row>
    <row r="151" spans="1:11">
      <c r="A151" s="50"/>
      <c r="B151" s="50"/>
      <c r="C151" s="50"/>
      <c r="D151" s="50"/>
      <c r="E151" s="50"/>
      <c r="F151" s="50"/>
      <c r="G151" s="50"/>
      <c r="H151" s="50"/>
      <c r="I151" s="50"/>
      <c r="J151" s="50"/>
      <c r="K151" s="50"/>
    </row>
    <row r="152" spans="1:11">
      <c r="A152" s="50"/>
      <c r="B152" s="50"/>
      <c r="C152" s="50"/>
      <c r="D152" s="50"/>
      <c r="E152" s="50"/>
      <c r="F152" s="50"/>
      <c r="G152" s="50"/>
      <c r="H152" s="50"/>
      <c r="I152" s="50"/>
      <c r="J152" s="50"/>
      <c r="K152" s="50"/>
    </row>
    <row r="153" spans="1:11">
      <c r="A153" s="50"/>
      <c r="B153" s="50"/>
      <c r="C153" s="50"/>
      <c r="D153" s="50"/>
      <c r="E153" s="50"/>
      <c r="F153" s="50"/>
      <c r="G153" s="50"/>
      <c r="H153" s="50"/>
      <c r="I153" s="50"/>
      <c r="J153" s="50"/>
      <c r="K153" s="50"/>
    </row>
    <row r="154" spans="1:11">
      <c r="A154" s="50"/>
      <c r="B154" s="50"/>
      <c r="C154" s="50"/>
      <c r="D154" s="50"/>
      <c r="E154" s="50"/>
      <c r="F154" s="50"/>
      <c r="G154" s="50"/>
      <c r="H154" s="50"/>
      <c r="I154" s="50"/>
      <c r="J154" s="50"/>
      <c r="K154" s="50"/>
    </row>
    <row r="155" spans="1:11">
      <c r="A155" s="50"/>
      <c r="B155" s="50"/>
      <c r="C155" s="50"/>
      <c r="D155" s="50"/>
      <c r="E155" s="50"/>
      <c r="F155" s="50"/>
      <c r="G155" s="50"/>
      <c r="H155" s="50"/>
      <c r="I155" s="50"/>
      <c r="J155" s="50"/>
      <c r="K155" s="50"/>
    </row>
    <row r="156" spans="1:11">
      <c r="A156" s="50"/>
      <c r="B156" s="50"/>
      <c r="C156" s="50"/>
      <c r="D156" s="50"/>
      <c r="E156" s="50"/>
      <c r="F156" s="50"/>
      <c r="G156" s="50"/>
      <c r="H156" s="50"/>
      <c r="I156" s="50"/>
      <c r="J156" s="50"/>
      <c r="K156" s="50"/>
    </row>
    <row r="157" spans="1:11">
      <c r="A157" s="50"/>
      <c r="B157" s="50"/>
      <c r="C157" s="50"/>
      <c r="D157" s="50"/>
      <c r="E157" s="50"/>
      <c r="F157" s="50"/>
      <c r="G157" s="50"/>
      <c r="H157" s="50"/>
      <c r="I157" s="50"/>
      <c r="J157" s="50"/>
      <c r="K157" s="50"/>
    </row>
    <row r="158" spans="1:11">
      <c r="A158" s="50"/>
      <c r="B158" s="50"/>
      <c r="C158" s="50"/>
      <c r="D158" s="50"/>
      <c r="E158" s="50"/>
      <c r="F158" s="50"/>
      <c r="G158" s="50"/>
      <c r="H158" s="50"/>
      <c r="I158" s="50"/>
      <c r="J158" s="50"/>
      <c r="K158" s="50"/>
    </row>
    <row r="159" spans="1:11">
      <c r="A159" s="50"/>
      <c r="B159" s="50"/>
      <c r="C159" s="50"/>
      <c r="D159" s="50"/>
      <c r="E159" s="50"/>
      <c r="F159" s="50"/>
      <c r="G159" s="50"/>
      <c r="H159" s="50"/>
      <c r="I159" s="50"/>
      <c r="J159" s="50"/>
      <c r="K159" s="50"/>
    </row>
    <row r="160" spans="1:11">
      <c r="A160" s="50"/>
      <c r="B160" s="50"/>
      <c r="C160" s="50"/>
      <c r="D160" s="50"/>
      <c r="E160" s="50"/>
      <c r="F160" s="50"/>
      <c r="G160" s="50"/>
      <c r="H160" s="50"/>
      <c r="I160" s="50"/>
      <c r="J160" s="50"/>
      <c r="K160" s="50"/>
    </row>
    <row r="161" spans="1:11">
      <c r="A161" s="50"/>
      <c r="B161" s="50"/>
      <c r="C161" s="50"/>
      <c r="D161" s="50"/>
      <c r="E161" s="50"/>
      <c r="F161" s="50"/>
      <c r="G161" s="50"/>
      <c r="H161" s="50"/>
      <c r="I161" s="50"/>
      <c r="J161" s="50"/>
      <c r="K161" s="50"/>
    </row>
    <row r="162" spans="1:11">
      <c r="A162" s="50"/>
      <c r="B162" s="50"/>
      <c r="C162" s="50"/>
      <c r="D162" s="50"/>
      <c r="E162" s="50"/>
      <c r="F162" s="50"/>
      <c r="G162" s="50"/>
      <c r="H162" s="50"/>
      <c r="I162" s="50"/>
      <c r="J162" s="50"/>
      <c r="K162" s="50"/>
    </row>
    <row r="163" spans="1:11">
      <c r="A163" s="50"/>
      <c r="B163" s="50"/>
      <c r="C163" s="50"/>
      <c r="D163" s="50"/>
      <c r="E163" s="50"/>
      <c r="F163" s="50"/>
      <c r="G163" s="50"/>
      <c r="H163" s="50"/>
      <c r="I163" s="50"/>
      <c r="J163" s="50"/>
      <c r="K163" s="50"/>
    </row>
    <row r="164" spans="1:11">
      <c r="A164" s="50"/>
      <c r="B164" s="50"/>
      <c r="C164" s="50"/>
      <c r="D164" s="50"/>
      <c r="E164" s="50"/>
      <c r="F164" s="50"/>
      <c r="G164" s="50"/>
      <c r="H164" s="50"/>
      <c r="I164" s="50"/>
      <c r="J164" s="50"/>
      <c r="K164" s="50"/>
    </row>
    <row r="165" spans="1:11">
      <c r="A165" s="50"/>
      <c r="B165" s="50"/>
      <c r="C165" s="50"/>
      <c r="D165" s="50"/>
      <c r="E165" s="50"/>
      <c r="F165" s="50"/>
      <c r="G165" s="50"/>
      <c r="H165" s="50"/>
      <c r="I165" s="50"/>
      <c r="J165" s="50"/>
      <c r="K165" s="50"/>
    </row>
    <row r="166" spans="1:11">
      <c r="A166" s="50"/>
      <c r="B166" s="50"/>
      <c r="C166" s="50"/>
      <c r="D166" s="50"/>
      <c r="E166" s="50"/>
      <c r="F166" s="50"/>
      <c r="G166" s="50"/>
      <c r="H166" s="50"/>
      <c r="I166" s="50"/>
      <c r="J166" s="50"/>
      <c r="K166" s="50"/>
    </row>
    <row r="167" spans="1:11">
      <c r="A167" s="50"/>
      <c r="B167" s="50"/>
      <c r="C167" s="50"/>
      <c r="D167" s="50"/>
      <c r="E167" s="50"/>
      <c r="F167" s="50"/>
      <c r="G167" s="50"/>
      <c r="H167" s="50"/>
      <c r="I167" s="50"/>
      <c r="J167" s="50"/>
      <c r="K167" s="50"/>
    </row>
    <row r="168" spans="1:11">
      <c r="A168" s="50"/>
      <c r="B168" s="50"/>
      <c r="C168" s="50"/>
      <c r="D168" s="50"/>
      <c r="E168" s="50"/>
      <c r="F168" s="50"/>
      <c r="G168" s="50"/>
      <c r="H168" s="50"/>
      <c r="I168" s="50"/>
      <c r="J168" s="50"/>
      <c r="K168" s="50"/>
    </row>
    <row r="169" spans="1:11">
      <c r="A169" s="50"/>
      <c r="B169" s="50"/>
      <c r="C169" s="50"/>
      <c r="D169" s="50"/>
      <c r="E169" s="50"/>
      <c r="F169" s="50"/>
      <c r="G169" s="50"/>
      <c r="H169" s="50"/>
      <c r="I169" s="50"/>
      <c r="J169" s="50"/>
      <c r="K169" s="50"/>
    </row>
    <row r="170" spans="1:11">
      <c r="A170" s="50"/>
      <c r="B170" s="50"/>
      <c r="C170" s="50"/>
      <c r="D170" s="50"/>
      <c r="E170" s="50"/>
      <c r="F170" s="50"/>
      <c r="G170" s="50"/>
      <c r="H170" s="50"/>
      <c r="I170" s="50"/>
      <c r="J170" s="50"/>
      <c r="K170" s="50"/>
    </row>
    <row r="171" spans="1:11">
      <c r="A171" s="50"/>
      <c r="B171" s="50"/>
      <c r="C171" s="50"/>
      <c r="D171" s="50"/>
      <c r="E171" s="50"/>
      <c r="F171" s="50"/>
      <c r="G171" s="50"/>
      <c r="H171" s="50"/>
      <c r="I171" s="50"/>
      <c r="J171" s="50"/>
      <c r="K171" s="50"/>
    </row>
    <row r="172" spans="1:11">
      <c r="A172" s="50"/>
      <c r="B172" s="50"/>
      <c r="C172" s="50"/>
      <c r="D172" s="50"/>
      <c r="E172" s="50"/>
      <c r="F172" s="50"/>
      <c r="G172" s="50"/>
      <c r="H172" s="50"/>
      <c r="I172" s="50"/>
      <c r="J172" s="50"/>
      <c r="K172" s="50"/>
    </row>
    <row r="173" spans="1:11">
      <c r="A173" s="50"/>
      <c r="B173" s="50"/>
      <c r="C173" s="50"/>
      <c r="D173" s="50"/>
      <c r="E173" s="50"/>
      <c r="F173" s="50"/>
      <c r="G173" s="50"/>
      <c r="H173" s="50"/>
      <c r="I173" s="50"/>
      <c r="J173" s="50"/>
      <c r="K173" s="50"/>
    </row>
    <row r="174" spans="1:11">
      <c r="A174" s="50"/>
      <c r="B174" s="50"/>
      <c r="C174" s="50"/>
      <c r="D174" s="50"/>
      <c r="E174" s="50"/>
      <c r="F174" s="50"/>
      <c r="G174" s="50"/>
      <c r="H174" s="50"/>
      <c r="I174" s="50"/>
      <c r="J174" s="50"/>
      <c r="K174" s="50"/>
    </row>
    <row r="175" spans="1:11">
      <c r="A175" s="50"/>
      <c r="B175" s="50"/>
      <c r="C175" s="50"/>
      <c r="D175" s="50"/>
      <c r="E175" s="50"/>
      <c r="F175" s="50"/>
      <c r="G175" s="50"/>
      <c r="H175" s="50"/>
      <c r="I175" s="50"/>
      <c r="J175" s="50"/>
      <c r="K175" s="50"/>
    </row>
    <row r="176" spans="1:11">
      <c r="A176" s="50"/>
      <c r="B176" s="50"/>
      <c r="C176" s="50"/>
      <c r="D176" s="50"/>
      <c r="E176" s="50"/>
      <c r="F176" s="50"/>
      <c r="G176" s="50"/>
      <c r="H176" s="50"/>
      <c r="I176" s="50"/>
      <c r="J176" s="50"/>
      <c r="K176" s="50"/>
    </row>
    <row r="177" spans="1:11">
      <c r="A177" s="50"/>
      <c r="B177" s="50"/>
      <c r="C177" s="50"/>
      <c r="D177" s="50"/>
      <c r="E177" s="50"/>
      <c r="F177" s="50"/>
      <c r="G177" s="50"/>
      <c r="H177" s="50"/>
      <c r="I177" s="50"/>
      <c r="J177" s="50"/>
      <c r="K177" s="50"/>
    </row>
    <row r="178" spans="1:11">
      <c r="A178" s="50"/>
      <c r="B178" s="50"/>
      <c r="C178" s="50"/>
      <c r="D178" s="50"/>
      <c r="E178" s="50"/>
      <c r="F178" s="50"/>
      <c r="G178" s="50"/>
      <c r="H178" s="50"/>
      <c r="I178" s="50"/>
      <c r="J178" s="50"/>
      <c r="K178" s="50"/>
    </row>
    <row r="179" spans="1:11">
      <c r="A179" s="50"/>
      <c r="B179" s="50"/>
      <c r="C179" s="50"/>
      <c r="D179" s="50"/>
      <c r="E179" s="50"/>
      <c r="F179" s="50"/>
      <c r="G179" s="50"/>
      <c r="H179" s="50"/>
      <c r="I179" s="50"/>
      <c r="J179" s="50"/>
      <c r="K179" s="50"/>
    </row>
    <row r="180" spans="1:11">
      <c r="A180" s="50"/>
      <c r="B180" s="50"/>
      <c r="C180" s="50"/>
      <c r="D180" s="50"/>
      <c r="E180" s="50"/>
      <c r="F180" s="50"/>
      <c r="G180" s="50"/>
      <c r="H180" s="50"/>
      <c r="I180" s="50"/>
      <c r="J180" s="50"/>
      <c r="K180" s="50"/>
    </row>
    <row r="181" spans="1:11">
      <c r="A181" s="50"/>
      <c r="B181" s="50"/>
      <c r="C181" s="50"/>
      <c r="D181" s="50"/>
      <c r="E181" s="50"/>
      <c r="F181" s="50"/>
      <c r="G181" s="50"/>
      <c r="H181" s="50"/>
      <c r="I181" s="50"/>
      <c r="J181" s="50"/>
      <c r="K181" s="50"/>
    </row>
    <row r="182" spans="1:11">
      <c r="A182" s="50"/>
      <c r="B182" s="50"/>
      <c r="C182" s="50"/>
      <c r="D182" s="50"/>
      <c r="E182" s="50"/>
      <c r="F182" s="50"/>
      <c r="G182" s="50"/>
      <c r="H182" s="50"/>
      <c r="I182" s="50"/>
      <c r="J182" s="50"/>
      <c r="K182" s="50"/>
    </row>
    <row r="183" spans="1:11">
      <c r="A183" s="50"/>
      <c r="B183" s="50"/>
      <c r="C183" s="50"/>
      <c r="D183" s="50"/>
      <c r="E183" s="50"/>
      <c r="F183" s="50"/>
      <c r="G183" s="50"/>
      <c r="H183" s="50"/>
      <c r="I183" s="50"/>
      <c r="J183" s="50"/>
      <c r="K183" s="50"/>
    </row>
    <row r="184" spans="1:11">
      <c r="A184" s="50"/>
      <c r="B184" s="50"/>
      <c r="C184" s="50"/>
      <c r="D184" s="50"/>
      <c r="E184" s="50"/>
      <c r="F184" s="50"/>
      <c r="G184" s="50"/>
      <c r="H184" s="50"/>
      <c r="I184" s="50"/>
      <c r="J184" s="50"/>
      <c r="K184" s="50"/>
    </row>
    <row r="185" spans="1:11">
      <c r="A185" s="50"/>
      <c r="B185" s="50"/>
      <c r="C185" s="50"/>
      <c r="D185" s="50"/>
      <c r="E185" s="50"/>
      <c r="F185" s="50"/>
      <c r="G185" s="50"/>
      <c r="H185" s="50"/>
      <c r="I185" s="50"/>
      <c r="J185" s="50"/>
      <c r="K185" s="50"/>
    </row>
    <row r="186" spans="1:11">
      <c r="A186" s="50"/>
      <c r="B186" s="50"/>
      <c r="C186" s="50"/>
      <c r="D186" s="50"/>
      <c r="E186" s="50"/>
      <c r="F186" s="50"/>
      <c r="G186" s="50"/>
      <c r="H186" s="50"/>
      <c r="I186" s="50"/>
      <c r="J186" s="50"/>
      <c r="K186" s="50"/>
    </row>
    <row r="187" spans="1:11">
      <c r="A187" s="50"/>
      <c r="B187" s="50"/>
      <c r="C187" s="50"/>
      <c r="D187" s="50"/>
      <c r="E187" s="50"/>
      <c r="F187" s="50"/>
      <c r="G187" s="50"/>
      <c r="H187" s="50"/>
      <c r="I187" s="50"/>
      <c r="J187" s="50"/>
      <c r="K187" s="50"/>
    </row>
    <row r="188" spans="1:11">
      <c r="A188" s="50"/>
      <c r="B188" s="50"/>
      <c r="C188" s="50"/>
      <c r="D188" s="50"/>
      <c r="E188" s="50"/>
      <c r="F188" s="50"/>
      <c r="G188" s="50"/>
      <c r="H188" s="50"/>
      <c r="I188" s="50"/>
      <c r="J188" s="50"/>
      <c r="K188" s="50"/>
    </row>
    <row r="189" spans="1:11">
      <c r="A189" s="50"/>
      <c r="B189" s="50"/>
      <c r="C189" s="50"/>
      <c r="D189" s="50"/>
      <c r="E189" s="50"/>
      <c r="F189" s="50"/>
      <c r="G189" s="50"/>
      <c r="H189" s="50"/>
      <c r="I189" s="50"/>
      <c r="J189" s="50"/>
      <c r="K189" s="50"/>
    </row>
    <row r="190" spans="1:11">
      <c r="A190" s="50"/>
      <c r="B190" s="50"/>
      <c r="C190" s="50"/>
      <c r="D190" s="50"/>
      <c r="E190" s="50"/>
      <c r="F190" s="50"/>
      <c r="G190" s="50"/>
      <c r="H190" s="50"/>
      <c r="I190" s="50"/>
      <c r="J190" s="50"/>
      <c r="K190" s="50"/>
    </row>
    <row r="191" spans="1:11">
      <c r="A191" s="50"/>
      <c r="B191" s="50"/>
      <c r="C191" s="50"/>
      <c r="D191" s="50"/>
      <c r="E191" s="50"/>
      <c r="F191" s="50"/>
      <c r="G191" s="50"/>
      <c r="H191" s="50"/>
      <c r="I191" s="50"/>
      <c r="J191" s="50"/>
      <c r="K191" s="50"/>
    </row>
    <row r="192" spans="1:11">
      <c r="A192" s="50"/>
      <c r="B192" s="50"/>
      <c r="C192" s="50"/>
      <c r="D192" s="50"/>
      <c r="E192" s="50"/>
      <c r="F192" s="50"/>
      <c r="G192" s="50"/>
      <c r="H192" s="50"/>
      <c r="I192" s="50"/>
      <c r="J192" s="50"/>
      <c r="K192" s="50"/>
    </row>
    <row r="193" spans="1:11">
      <c r="A193" s="50"/>
      <c r="B193" s="50"/>
      <c r="C193" s="50"/>
      <c r="D193" s="50"/>
      <c r="E193" s="50"/>
      <c r="F193" s="50"/>
      <c r="G193" s="50"/>
      <c r="H193" s="50"/>
      <c r="I193" s="50"/>
      <c r="J193" s="50"/>
      <c r="K193" s="50"/>
    </row>
    <row r="194" spans="1:11">
      <c r="A194" s="50"/>
      <c r="B194" s="50"/>
      <c r="C194" s="50"/>
      <c r="D194" s="50"/>
      <c r="E194" s="50"/>
      <c r="F194" s="50"/>
      <c r="G194" s="50"/>
      <c r="H194" s="50"/>
      <c r="I194" s="50"/>
      <c r="J194" s="50"/>
      <c r="K194" s="50"/>
    </row>
  </sheetData>
  <sheetProtection algorithmName="SHA-512" hashValue="p6NZx6tFbTl4fubHwL3tkBSWg7970xZ0EqV5TO9zKfNH5BnKFKX87w/yun2axq3ghO56Bqq0tNzqfl7YlM2NUQ==" saltValue="TFyHhtBDG4F+EuJ8MqRtmQ==" spinCount="100000" sheet="1" objects="1" scenarios="1"/>
  <mergeCells count="10">
    <mergeCell ref="A32:K32"/>
    <mergeCell ref="H25:K25"/>
    <mergeCell ref="H27:K27"/>
    <mergeCell ref="A10:K10"/>
    <mergeCell ref="H23:K23"/>
    <mergeCell ref="H7:K7"/>
    <mergeCell ref="B1:G1"/>
    <mergeCell ref="B2:G2"/>
    <mergeCell ref="B3:G3"/>
    <mergeCell ref="A12:A15"/>
  </mergeCells>
  <conditionalFormatting sqref="I34:I38">
    <cfRule type="containsText" dxfId="22" priority="3" operator="containsText" text="WEITER">
      <formula>NOT(ISERROR(SEARCH("WEITER",I34)))</formula>
    </cfRule>
  </conditionalFormatting>
  <conditionalFormatting sqref="J17:K17 J19:K19 J21:K21">
    <cfRule type="expression" dxfId="21" priority="4">
      <formula>#REF!=1</formula>
    </cfRule>
  </conditionalFormatting>
  <dataValidations count="3">
    <dataValidation type="list" allowBlank="1" showInputMessage="1" showErrorMessage="1" error="Bitte wählen Sie einen Wert aus dem Drop-Down-Menu / Sélectionnez une valeur dans le menu déroulant, s.v.p." sqref="I19">
      <formula1>$B$161:$B$163</formula1>
    </dataValidation>
    <dataValidation type="list" allowBlank="1" showInputMessage="1" showErrorMessage="1" error="Bitte wählen Sie einen Wert aus dem Drop-Down-Menu / Sélectionnez une valeur dans le menu déroulant, s.v.p." sqref="I21">
      <formula1>$B$161:$B$163</formula1>
    </dataValidation>
    <dataValidation type="textLength" allowBlank="1" showInputMessage="1" showErrorMessage="1" error="Bitte verwenden Sie nicht mehr als 199 Zeichen / S.v.p. utilisez 199 caractères au maximum" sqref="A17 A19 A21">
      <formula1>0</formula1>
      <formula2>199</formula2>
    </dataValidation>
  </dataValidations>
  <hyperlinks>
    <hyperlink ref="H34" location="'42uCH'!A1" display="'42uCH'!A1"/>
    <hyperlink ref="H36" location="'43uCH'!A1" display="'43uCH'!A1"/>
    <hyperlink ref="H38" location="'5'!A1" display="'5'!A1"/>
    <hyperlink ref="C34" location="'41uCH'!A1" display="'41uCH'!A1"/>
  </hyperlinks>
  <pageMargins left="0.74803149606299213" right="0.74803149606299213" top="0.39370078740157483" bottom="0.19685039370078741" header="0.51181102362204722" footer="0.51181102362204722"/>
  <pageSetup paperSize="9" scale="87"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235BF72F-8527-034F-87A1-962A39872818}">
            <xm:f>txt!$B$222</xm:f>
            <x14:dxf>
              <font>
                <u/>
                <color rgb="FF0000FF"/>
              </font>
              <fill>
                <patternFill patternType="solid">
                  <fgColor indexed="64"/>
                  <bgColor rgb="FFFFFF00"/>
                </patternFill>
              </fill>
            </x14:dxf>
          </x14:cfRule>
          <xm:sqref>H34:H38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I17</xm:sqref>
        </x14:dataValidation>
      </x14:dataValidations>
    </ex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tabColor theme="9" tint="0.39997558519241921"/>
    <pageSetUpPr fitToPage="1"/>
  </sheetPr>
  <dimension ref="A1:AU181"/>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12.6640625" style="133" customWidth="1"/>
    <col min="5" max="5" width="12.6640625" style="79" customWidth="1"/>
    <col min="6" max="6" width="2.6640625" style="79" customWidth="1"/>
    <col min="7" max="7" width="8.6640625" style="79" customWidth="1"/>
    <col min="8" max="9" width="12.6640625" style="79" customWidth="1"/>
    <col min="10" max="47" width="10.6640625" style="50"/>
    <col min="48" max="16384" width="10.6640625" style="79"/>
  </cols>
  <sheetData>
    <row r="1" spans="1:9" ht="15" customHeight="1">
      <c r="A1" s="50"/>
      <c r="B1" s="366" t="str">
        <f>txt!B42</f>
        <v>Preiserhebung</v>
      </c>
      <c r="C1" s="366"/>
      <c r="D1" s="366"/>
      <c r="E1" s="366"/>
      <c r="F1" s="366"/>
      <c r="G1" s="50"/>
      <c r="H1" s="50"/>
      <c r="I1" s="51" t="str">
        <f>txt!B175</f>
        <v>Eidg. Departement des Innern</v>
      </c>
    </row>
    <row r="2" spans="1:9" ht="15" customHeight="1">
      <c r="A2" s="50"/>
      <c r="B2" s="366" t="str">
        <f>txt!B43</f>
        <v>Produzentenpreisindex</v>
      </c>
      <c r="C2" s="366"/>
      <c r="D2" s="366"/>
      <c r="E2" s="366"/>
      <c r="F2" s="366"/>
      <c r="G2" s="50"/>
      <c r="H2" s="50"/>
      <c r="I2" s="51" t="str">
        <f>txt!B176</f>
        <v>Bundesamt für Statistik BFS</v>
      </c>
    </row>
    <row r="3" spans="1:9" ht="15" customHeight="1">
      <c r="A3" s="50"/>
      <c r="B3" s="366" t="str">
        <f>txt!B44</f>
        <v>Informatikdienstleistungen</v>
      </c>
      <c r="C3" s="366"/>
      <c r="D3" s="366"/>
      <c r="E3" s="366"/>
      <c r="F3" s="366"/>
      <c r="G3" s="50"/>
      <c r="H3" s="50"/>
      <c r="I3" s="51" t="str">
        <f>txt!B177</f>
        <v>Abt. Wirtschaft, Sektion PREIS</v>
      </c>
    </row>
    <row r="4" spans="1:9" ht="13.5" customHeight="1">
      <c r="A4" s="63"/>
      <c r="B4" s="63"/>
      <c r="C4" s="63"/>
      <c r="D4" s="63"/>
      <c r="E4" s="63"/>
      <c r="F4" s="63"/>
      <c r="G4" s="63"/>
      <c r="H4" s="63"/>
      <c r="I4" s="63"/>
    </row>
    <row r="5" spans="1:9" ht="13.5" customHeight="1">
      <c r="A5" s="63" t="str">
        <f>txt!B46</f>
        <v>PMS-Nr. 0</v>
      </c>
      <c r="B5" s="63"/>
      <c r="C5" s="63"/>
      <c r="D5" s="63"/>
      <c r="E5" s="63"/>
      <c r="F5" s="63"/>
      <c r="G5" s="63"/>
      <c r="H5" s="63"/>
      <c r="I5" s="51" t="str">
        <f>txt!B45</f>
        <v/>
      </c>
    </row>
    <row r="6" spans="1:9" ht="13.5" customHeight="1">
      <c r="A6" s="63"/>
      <c r="B6" s="63"/>
      <c r="C6" s="63"/>
      <c r="D6" s="63"/>
      <c r="E6" s="63"/>
      <c r="F6" s="63"/>
      <c r="G6" s="63"/>
      <c r="H6" s="63"/>
      <c r="I6" s="63"/>
    </row>
    <row r="7" spans="1:9" ht="13.5" customHeight="1">
      <c r="A7" s="63" t="str">
        <f>txt!B47&amp;": "&amp;txt!B52</f>
        <v>Geschäftsfeld: IT-Infrastrukturdienste</v>
      </c>
      <c r="B7" s="63"/>
      <c r="C7" s="63"/>
      <c r="D7" s="63"/>
      <c r="E7" s="63"/>
      <c r="F7" s="63"/>
      <c r="G7" s="349" t="str">
        <f>" "&amp;REPT("|",INT(Steuerung!AA43*105))</f>
        <v xml:space="preserve"> </v>
      </c>
      <c r="H7" s="350"/>
      <c r="I7" s="351"/>
    </row>
    <row r="8" spans="1:9" ht="13.5" customHeight="1">
      <c r="A8" s="63" t="str">
        <f>txt!B48&amp;": "&amp;txt!B63</f>
        <v>Dienstleistungstyp: Platform as a Service (PaaS)</v>
      </c>
      <c r="B8" s="63"/>
      <c r="C8" s="63"/>
      <c r="D8" s="63"/>
      <c r="E8" s="63"/>
      <c r="F8" s="63"/>
      <c r="G8" s="63"/>
      <c r="H8" s="63"/>
      <c r="I8" s="65" t="str">
        <f>IF($A$17="",txt!B203,IF(OR($D$17="",AND($A$25=0,$H$17="")),txt!B233,IF(OR($E$17="",AND($A$25=0,$I$17="")),txt!B234,IF(AND($A$25=0,$G$17=""),txt!B235,IF(A26=1,"","")))))</f>
        <v>Beschreiben Sie eine typische PaaS-Leistung</v>
      </c>
    </row>
    <row r="9" spans="1:9" ht="13.5" customHeight="1">
      <c r="A9" s="63"/>
      <c r="B9" s="63"/>
      <c r="C9" s="63"/>
      <c r="D9" s="63"/>
      <c r="E9" s="63"/>
      <c r="F9" s="50"/>
      <c r="G9" s="50"/>
      <c r="H9" s="50"/>
      <c r="I9" s="50"/>
    </row>
    <row r="10" spans="1:9" ht="13.5" customHeight="1">
      <c r="A10" s="357" t="str">
        <f>txt!B191</f>
        <v>Zu welchem Unit-Nettopreis würden Sie die von Ihnen unten beschriebene Dienstleistung anbieten?</v>
      </c>
      <c r="B10" s="357"/>
      <c r="C10" s="357"/>
      <c r="D10" s="357"/>
      <c r="E10" s="357"/>
      <c r="F10" s="357"/>
      <c r="G10" s="357"/>
      <c r="H10" s="357"/>
      <c r="I10" s="357"/>
    </row>
    <row r="11" spans="1:9" ht="13.5" customHeight="1">
      <c r="A11" s="157"/>
      <c r="B11" s="157"/>
      <c r="C11" s="157"/>
      <c r="D11" s="157"/>
      <c r="E11" s="157"/>
      <c r="F11" s="157"/>
      <c r="G11" s="157"/>
      <c r="H11" s="157"/>
      <c r="I11" s="157"/>
    </row>
    <row r="12" spans="1:9" ht="13.5" customHeight="1">
      <c r="A12" s="157"/>
      <c r="B12" s="157"/>
      <c r="C12" s="157"/>
      <c r="D12" s="157"/>
      <c r="E12" s="157"/>
      <c r="F12" s="157"/>
      <c r="G12" s="157"/>
      <c r="H12" s="157"/>
      <c r="I12" s="157"/>
    </row>
    <row r="13" spans="1:9" ht="13.5" customHeight="1">
      <c r="A13" s="50"/>
      <c r="B13" s="50"/>
      <c r="C13" s="50"/>
      <c r="D13" s="167" t="str">
        <f>txt!B157</f>
        <v>Kunde in der Schweiz</v>
      </c>
      <c r="E13" s="135"/>
      <c r="F13" s="135"/>
      <c r="G13" s="167" t="str">
        <f>txt!B158</f>
        <v>Kunde im Ausland</v>
      </c>
      <c r="H13" s="167"/>
      <c r="I13" s="167"/>
    </row>
    <row r="14" spans="1:9" ht="13.5" customHeight="1">
      <c r="A14" s="50"/>
      <c r="B14" s="50"/>
      <c r="C14" s="50"/>
      <c r="D14" s="167"/>
      <c r="E14" s="135"/>
      <c r="F14" s="135"/>
      <c r="G14" s="167"/>
      <c r="H14" s="167"/>
      <c r="I14" s="167"/>
    </row>
    <row r="15" spans="1:9" ht="13.5" customHeight="1">
      <c r="B15" s="50"/>
      <c r="C15" s="50"/>
      <c r="D15" s="168" t="str">
        <f>txt!B23</f>
        <v>März 2022</v>
      </c>
      <c r="E15" s="168" t="str">
        <f>txt!B24</f>
        <v>März 2021</v>
      </c>
      <c r="F15" s="169"/>
      <c r="G15" s="165"/>
      <c r="H15" s="168" t="str">
        <f>D15</f>
        <v>März 2022</v>
      </c>
      <c r="I15" s="168" t="str">
        <f>E15</f>
        <v>März 2021</v>
      </c>
    </row>
    <row r="16" spans="1:9" ht="13.5" customHeight="1">
      <c r="A16" s="57" t="str">
        <f>txt!B203&amp;":"</f>
        <v>Beschreiben Sie eine typische PaaS-Leistung:</v>
      </c>
      <c r="B16" s="50"/>
      <c r="C16" s="50"/>
      <c r="D16" s="170" t="str">
        <f>txt!B166</f>
        <v>Preis</v>
      </c>
      <c r="E16" s="170" t="str">
        <f>txt!B166</f>
        <v>Preis</v>
      </c>
      <c r="F16" s="169"/>
      <c r="G16" s="169" t="str">
        <f>txt!B161</f>
        <v>Währung</v>
      </c>
      <c r="H16" s="170" t="str">
        <f>D16</f>
        <v>Preis</v>
      </c>
      <c r="I16" s="170" t="str">
        <f>E16</f>
        <v>Preis</v>
      </c>
    </row>
    <row r="17" spans="1:9" ht="40.5" customHeight="1">
      <c r="A17" s="307"/>
      <c r="B17" s="137"/>
      <c r="C17" s="171"/>
      <c r="D17" s="309"/>
      <c r="E17" s="309"/>
      <c r="F17" s="172"/>
      <c r="G17" s="279"/>
      <c r="H17" s="284"/>
      <c r="I17" s="284"/>
    </row>
    <row r="18" spans="1:9" ht="13.5" customHeight="1">
      <c r="A18" s="157"/>
      <c r="B18" s="157"/>
      <c r="C18" s="157"/>
      <c r="D18" s="157"/>
      <c r="E18" s="157"/>
      <c r="F18" s="157"/>
      <c r="G18" s="157"/>
      <c r="H18" s="157"/>
      <c r="I18" s="157"/>
    </row>
    <row r="19" spans="1:9" ht="40.5" customHeight="1">
      <c r="A19" s="234" t="str">
        <f>txt!B206</f>
        <v>Beispiel: Datenbanklösungen für Kunde x.</v>
      </c>
      <c r="B19" s="157"/>
      <c r="C19" s="157"/>
      <c r="D19" s="348" t="str">
        <f>txt!B159</f>
        <v>Defintion "Kunde in der Schweiz": Adresse des Leistungsbezügers im Inland.</v>
      </c>
      <c r="E19" s="348"/>
      <c r="F19" s="173"/>
      <c r="G19" s="348" t="str">
        <f>txt!B160</f>
        <v>Definition "Kunde im Ausland": Adresse des Leistungsbezügers im Ausland.</v>
      </c>
      <c r="H19" s="348"/>
      <c r="I19" s="348"/>
    </row>
    <row r="20" spans="1:9" ht="7.5" customHeight="1">
      <c r="A20" s="157"/>
      <c r="B20" s="157"/>
      <c r="C20" s="157"/>
      <c r="D20" s="173"/>
      <c r="E20" s="173"/>
      <c r="F20" s="173"/>
      <c r="G20" s="173"/>
      <c r="H20" s="173"/>
      <c r="I20" s="173"/>
    </row>
    <row r="21" spans="1:9" ht="27" customHeight="1">
      <c r="A21" s="234" t="str">
        <f>txt!B207</f>
        <v>Beispiel: Web-Hosting mit Control Panels für Kunde y.</v>
      </c>
      <c r="B21" s="157"/>
      <c r="C21" s="157"/>
      <c r="D21" s="374" t="str">
        <f>txt!B169</f>
        <v>Die Preise sind ohne Mehrwertsteuer anzugeben.</v>
      </c>
      <c r="E21" s="374"/>
      <c r="F21" s="173"/>
      <c r="G21" s="371"/>
      <c r="H21" s="371"/>
      <c r="I21" s="371"/>
    </row>
    <row r="22" spans="1:9" ht="13.5" customHeight="1">
      <c r="A22" s="157"/>
      <c r="B22" s="157"/>
      <c r="C22" s="157"/>
      <c r="D22" s="157"/>
      <c r="E22" s="157"/>
      <c r="F22" s="157"/>
      <c r="G22" s="157"/>
      <c r="H22" s="157"/>
      <c r="I22" s="157"/>
    </row>
    <row r="23" spans="1:9" ht="13.5" customHeight="1">
      <c r="A23" s="157" t="str">
        <f>txt!B173&amp;":"</f>
        <v>Bemerkungen:</v>
      </c>
      <c r="B23" s="157"/>
      <c r="C23" s="157"/>
      <c r="D23" s="157"/>
      <c r="E23" s="157"/>
      <c r="F23" s="157"/>
      <c r="G23" s="157"/>
      <c r="H23" s="157"/>
      <c r="I23" s="157"/>
    </row>
    <row r="24" spans="1:9" ht="54" customHeight="1">
      <c r="A24" s="367"/>
      <c r="B24" s="368"/>
      <c r="C24" s="368"/>
      <c r="D24" s="368"/>
      <c r="E24" s="368"/>
      <c r="F24" s="368"/>
      <c r="G24" s="368"/>
      <c r="H24" s="368"/>
      <c r="I24" s="369"/>
    </row>
    <row r="25" spans="1:9" ht="13.5" customHeight="1">
      <c r="A25" s="78">
        <f>Steuerung!E44</f>
        <v>1</v>
      </c>
      <c r="B25" s="57"/>
      <c r="C25" s="57"/>
      <c r="D25" s="57"/>
      <c r="E25" s="50"/>
      <c r="F25" s="50"/>
      <c r="G25" s="50"/>
      <c r="H25" s="50"/>
      <c r="I25" s="50"/>
    </row>
    <row r="26" spans="1:9" ht="13.5" customHeight="1">
      <c r="A26" s="78">
        <f>Steuerung!H$43</f>
        <v>0</v>
      </c>
      <c r="B26" s="50"/>
      <c r="C26" s="268" t="str">
        <f>txt!$B$221</f>
        <v>ZURÜCK</v>
      </c>
      <c r="D26" s="50"/>
      <c r="E26" s="50"/>
      <c r="F26" s="50"/>
      <c r="G26" s="269" t="str">
        <f>IF($A$17="","",IF(OR($D$17="",AND($A$25=0,$H$17="")),"",IF(OR($E$17="",AND($A$25=0,$I$17="")),"",IF(AND($A$25=0,$G$17=""),"",IF(A26=1,txt!$B$222,"")))))</f>
        <v/>
      </c>
      <c r="H26" s="50"/>
      <c r="I26" s="50"/>
    </row>
    <row r="27" spans="1:9" ht="13.5" customHeight="1">
      <c r="A27" s="78"/>
      <c r="B27" s="50"/>
      <c r="C27" s="50"/>
      <c r="D27" s="50"/>
      <c r="E27" s="62"/>
      <c r="F27" s="50"/>
      <c r="G27" s="62"/>
      <c r="H27" s="50"/>
      <c r="I27" s="112"/>
    </row>
    <row r="28" spans="1:9" ht="13.5" customHeight="1">
      <c r="A28" s="78">
        <f>Steuerung!J$43</f>
        <v>1</v>
      </c>
      <c r="B28" s="50"/>
      <c r="C28" s="50"/>
      <c r="D28" s="50"/>
      <c r="E28" s="50"/>
      <c r="F28" s="50"/>
      <c r="G28" s="274" t="str">
        <f>IF($A$17="","",IF(OR($D$17="",AND($A$25=0,$H$17="")),"",IF(OR($E$17="",AND($A$25=0,$I$17="")),"",IF(AND($A$25=0,$G$17=""),"",IF(AND(A26=0,A28=1),txt!$B$222,"")))))</f>
        <v/>
      </c>
      <c r="H28" s="50"/>
      <c r="I28" s="50"/>
    </row>
    <row r="29" spans="1:9" s="50" customFormat="1">
      <c r="A29" s="63"/>
      <c r="B29" s="63"/>
      <c r="C29" s="63"/>
      <c r="D29" s="63"/>
      <c r="E29" s="63"/>
    </row>
    <row r="30" spans="1:9" s="50" customFormat="1">
      <c r="A30" s="63"/>
      <c r="B30" s="63"/>
      <c r="C30" s="63"/>
      <c r="D30" s="63"/>
      <c r="E30" s="63"/>
    </row>
    <row r="31" spans="1:9" s="50" customFormat="1">
      <c r="A31" s="63"/>
      <c r="B31" s="63"/>
      <c r="C31" s="63"/>
      <c r="D31" s="63"/>
      <c r="E31" s="63"/>
    </row>
    <row r="32" spans="1:9" s="50" customFormat="1">
      <c r="A32" s="63"/>
      <c r="B32" s="63"/>
      <c r="C32" s="63"/>
      <c r="D32" s="63"/>
      <c r="E32" s="63"/>
    </row>
    <row r="33" s="50" customFormat="1"/>
    <row r="34" s="50" customFormat="1"/>
    <row r="35" s="50" customFormat="1"/>
    <row r="36" s="50" customFormat="1"/>
    <row r="37" s="50" customFormat="1"/>
    <row r="38" s="50" customFormat="1"/>
    <row r="39" s="50" customFormat="1"/>
    <row r="40" s="50" customFormat="1" ht="12.95" customHeight="1"/>
    <row r="41" s="50" customFormat="1"/>
    <row r="42" s="50" customFormat="1"/>
    <row r="43" s="50" customFormat="1"/>
    <row r="44" s="50" customFormat="1"/>
    <row r="45" s="50" customFormat="1"/>
    <row r="46" s="50" customFormat="1"/>
    <row r="47" s="50" customFormat="1"/>
    <row r="48"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row r="164" s="50" customFormat="1"/>
    <row r="165" s="50" customFormat="1"/>
    <row r="166" s="50" customFormat="1"/>
    <row r="167" s="50" customFormat="1"/>
    <row r="168" s="50" customFormat="1"/>
    <row r="169" s="50" customFormat="1"/>
    <row r="170" s="50" customFormat="1"/>
    <row r="171" s="50" customFormat="1"/>
    <row r="172" s="50" customFormat="1"/>
    <row r="173" s="50" customFormat="1"/>
    <row r="174" s="50" customFormat="1"/>
    <row r="175" s="50" customFormat="1"/>
    <row r="176" s="50" customFormat="1"/>
    <row r="177" s="50" customFormat="1"/>
    <row r="178" s="50" customFormat="1"/>
    <row r="179" s="50" customFormat="1"/>
    <row r="180" s="50" customFormat="1"/>
    <row r="181" s="50" customFormat="1"/>
  </sheetData>
  <sheetProtection algorithmName="SHA-512" hashValue="wPc7ftGMN9IhsHGVKCFgVBJkFwpzBythgWagUUS1/D6qucXE/5MKrzzV/E5Og7eUlmR80OuI8X7KGQQGJjXT/Q==" saltValue="TdOWHWy4D7p9Hfy1rrIzJA==" spinCount="100000" sheet="1" objects="1" scenarios="1"/>
  <mergeCells count="10">
    <mergeCell ref="G7:I7"/>
    <mergeCell ref="B1:F1"/>
    <mergeCell ref="B3:F3"/>
    <mergeCell ref="B2:F2"/>
    <mergeCell ref="A24:I24"/>
    <mergeCell ref="D21:E21"/>
    <mergeCell ref="G21:I21"/>
    <mergeCell ref="A10:I10"/>
    <mergeCell ref="D19:E19"/>
    <mergeCell ref="G19:I19"/>
  </mergeCells>
  <conditionalFormatting sqref="I27">
    <cfRule type="containsText" dxfId="19" priority="6" operator="containsText" text="WEITER">
      <formula>NOT(ISERROR(SEARCH("WEITER",I27)))</formula>
    </cfRule>
  </conditionalFormatting>
  <conditionalFormatting sqref="G13:I21">
    <cfRule type="expression" dxfId="18" priority="3">
      <formula>$A$25=1</formula>
    </cfRule>
  </conditionalFormatting>
  <dataValidations count="1">
    <dataValidation type="textLength" allowBlank="1" showInputMessage="1" showErrorMessage="1" error="Bitte verwenden Sie nicht mehr als 199 Zeichen / S.v.p. utilisez 199 caractères au maximum" sqref="A17">
      <formula1>0</formula1>
      <formula2>199</formula2>
    </dataValidation>
  </dataValidations>
  <hyperlinks>
    <hyperlink ref="G26" location="'43t'!A1" display="'43t'!A1"/>
    <hyperlink ref="G28" location="'5'!A1" display="'5'!A1"/>
    <hyperlink ref="C26" location="'40'!$A$1" display="'40'!$A$1"/>
  </hyperlinks>
  <pageMargins left="0.74803149606299213" right="0.74803149606299213" top="0.39370078740157483" bottom="0.19685039370078741" header="0.51181102362204722" footer="0.51181102362204722"/>
  <pageSetup paperSize="9" scale="88"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30BFF5E2-C6F4-5940-B17D-7193DF3F710F}">
            <xm:f>txt!$B$222</xm:f>
            <x14:dxf>
              <font>
                <u/>
                <color rgb="FF0000FF"/>
              </font>
              <fill>
                <patternFill patternType="solid">
                  <fgColor indexed="64"/>
                  <bgColor rgb="FFFFFF00"/>
                </patternFill>
              </fill>
            </x14:dxf>
          </x14:cfRule>
          <xm:sqref>G26:G28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G17</xm:sqref>
        </x14:dataValidation>
      </x14:dataValidations>
    </ex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tabColor theme="9" tint="0.39997558519241921"/>
    <pageSetUpPr fitToPage="1"/>
  </sheetPr>
  <dimension ref="A1:AY192"/>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8.6640625" style="133" customWidth="1"/>
    <col min="5" max="6" width="8.6640625" style="79" customWidth="1"/>
    <col min="7" max="7" width="2.6640625" style="79" customWidth="1"/>
    <col min="8" max="11" width="8.6640625" style="79" customWidth="1"/>
    <col min="12" max="51" width="10.6640625" style="50"/>
    <col min="52" max="16384" width="10.6640625" style="79"/>
  </cols>
  <sheetData>
    <row r="1" spans="1:11" ht="15" customHeight="1">
      <c r="A1" s="50"/>
      <c r="B1" s="366" t="str">
        <f>txt!B42</f>
        <v>Preiserhebung</v>
      </c>
      <c r="C1" s="366"/>
      <c r="D1" s="366"/>
      <c r="E1" s="366"/>
      <c r="F1" s="366"/>
      <c r="G1" s="366"/>
      <c r="H1" s="50"/>
      <c r="I1" s="50"/>
      <c r="J1" s="50"/>
      <c r="K1" s="51" t="str">
        <f>txt!B175</f>
        <v>Eidg. Departement des Innern</v>
      </c>
    </row>
    <row r="2" spans="1:11" ht="15" customHeight="1">
      <c r="A2" s="50"/>
      <c r="B2" s="366" t="str">
        <f>txt!B43</f>
        <v>Produzentenpreisindex</v>
      </c>
      <c r="C2" s="366"/>
      <c r="D2" s="366"/>
      <c r="E2" s="366"/>
      <c r="F2" s="366"/>
      <c r="G2" s="366"/>
      <c r="H2" s="50"/>
      <c r="I2" s="50"/>
      <c r="J2" s="50"/>
      <c r="K2" s="51" t="str">
        <f>txt!B176</f>
        <v>Bundesamt für Statistik BFS</v>
      </c>
    </row>
    <row r="3" spans="1:11" ht="15" customHeight="1">
      <c r="A3" s="50"/>
      <c r="B3" s="366" t="str">
        <f>txt!B44</f>
        <v>Informatikdienstleistungen</v>
      </c>
      <c r="C3" s="366"/>
      <c r="D3" s="366"/>
      <c r="E3" s="366"/>
      <c r="F3" s="366"/>
      <c r="G3" s="366"/>
      <c r="H3" s="50"/>
      <c r="I3" s="50"/>
      <c r="J3" s="50"/>
      <c r="K3" s="51" t="str">
        <f>txt!B177</f>
        <v>Abt. Wirtschaft, Sektion PREIS</v>
      </c>
    </row>
    <row r="4" spans="1:11" ht="13.5" customHeight="1">
      <c r="A4" s="63"/>
      <c r="B4" s="63"/>
      <c r="C4" s="63"/>
      <c r="D4" s="63"/>
      <c r="E4" s="63"/>
      <c r="F4" s="63"/>
      <c r="G4" s="63"/>
      <c r="H4" s="63"/>
      <c r="I4" s="63"/>
      <c r="J4" s="63"/>
      <c r="K4" s="63"/>
    </row>
    <row r="5" spans="1:11" ht="13.5" customHeight="1">
      <c r="A5" s="63" t="str">
        <f>txt!B46</f>
        <v>PMS-Nr. 0</v>
      </c>
      <c r="B5" s="63"/>
      <c r="C5" s="63"/>
      <c r="D5" s="63"/>
      <c r="E5" s="63"/>
      <c r="F5" s="63"/>
      <c r="G5" s="63"/>
      <c r="H5" s="63"/>
      <c r="I5" s="50"/>
      <c r="J5" s="63"/>
      <c r="K5" s="51" t="str">
        <f>txt!B45</f>
        <v/>
      </c>
    </row>
    <row r="6" spans="1:11" ht="13.5" customHeight="1">
      <c r="A6" s="63"/>
      <c r="B6" s="63"/>
      <c r="C6" s="63"/>
      <c r="D6" s="63"/>
      <c r="E6" s="63"/>
      <c r="F6" s="63"/>
      <c r="G6" s="63"/>
      <c r="H6" s="63"/>
      <c r="I6" s="63"/>
      <c r="J6" s="63"/>
      <c r="K6" s="63"/>
    </row>
    <row r="7" spans="1:11" ht="13.5" customHeight="1">
      <c r="A7" s="63" t="str">
        <f>txt!B47&amp;": "&amp;txt!B52</f>
        <v>Geschäftsfeld: IT-Infrastrukturdienste</v>
      </c>
      <c r="B7" s="63"/>
      <c r="C7" s="63"/>
      <c r="D7" s="63"/>
      <c r="E7" s="63"/>
      <c r="F7" s="63"/>
      <c r="G7" s="63"/>
      <c r="H7" s="349" t="str">
        <f>" "&amp;REPT("|",INT(Steuerung!AA45*107))</f>
        <v xml:space="preserve"> </v>
      </c>
      <c r="I7" s="350"/>
      <c r="J7" s="350"/>
      <c r="K7" s="351"/>
    </row>
    <row r="8" spans="1:11" ht="13.5" customHeight="1">
      <c r="A8" s="63" t="str">
        <f>txt!B48&amp;": "&amp;txt!B63</f>
        <v>Dienstleistungstyp: Platform as a Service (PaaS)</v>
      </c>
      <c r="B8" s="63"/>
      <c r="C8" s="63"/>
      <c r="D8" s="63"/>
      <c r="E8" s="63"/>
      <c r="F8" s="63"/>
      <c r="G8" s="63"/>
      <c r="H8" s="63"/>
      <c r="I8" s="63"/>
      <c r="J8" s="63"/>
      <c r="K8" s="65" t="str">
        <f>IF($A$17="",txt!B247,IF($C$17="",txt!B242,IF($E$17="",txt!B233,IF($F$17="",txt!B234,IF(A34=1,"","")))))</f>
        <v>Bitte beschreiben Sie PaaS-Leistungen für Schweizer Geschäftskunden</v>
      </c>
    </row>
    <row r="9" spans="1:11" ht="13.5" customHeight="1">
      <c r="A9" s="177"/>
      <c r="B9" s="63"/>
      <c r="C9" s="63"/>
      <c r="D9" s="63"/>
      <c r="E9" s="63"/>
      <c r="F9" s="50"/>
      <c r="G9" s="50"/>
      <c r="H9" s="50"/>
      <c r="I9" s="50"/>
      <c r="J9" s="50"/>
      <c r="K9" s="50"/>
    </row>
    <row r="10" spans="1:11" ht="13.5" customHeight="1">
      <c r="A10" s="357" t="str">
        <f>txt!B190</f>
        <v>Wie hoch war der Unit-Nettopreis im unten genannten Vertrag?</v>
      </c>
      <c r="B10" s="357"/>
      <c r="C10" s="357"/>
      <c r="D10" s="357"/>
      <c r="E10" s="357"/>
      <c r="F10" s="357"/>
      <c r="G10" s="357"/>
      <c r="H10" s="357"/>
      <c r="I10" s="357"/>
      <c r="J10" s="357"/>
      <c r="K10" s="357"/>
    </row>
    <row r="11" spans="1:11" ht="13.5" customHeight="1">
      <c r="A11" s="63"/>
      <c r="B11" s="63"/>
      <c r="C11" s="63"/>
      <c r="D11" s="63"/>
      <c r="E11" s="63"/>
      <c r="F11" s="63"/>
      <c r="G11" s="63"/>
      <c r="H11" s="63"/>
      <c r="I11" s="63"/>
      <c r="J11" s="50"/>
      <c r="K11" s="50"/>
    </row>
    <row r="12" spans="1:11" ht="13.5" customHeight="1">
      <c r="A12" s="352" t="str">
        <f>txt!B204&amp;":"</f>
        <v>Beschreiben Sie eine PaaS-Leistung für einen bis drei zentrale(n) Schweizer Geschäftskunden (inkl. Kundenauftragsidentifikator, z.B. Auftragsnummer):</v>
      </c>
      <c r="B12" s="63"/>
      <c r="C12" s="167" t="str">
        <f>txt!B157</f>
        <v>Kunde in der Schweiz</v>
      </c>
      <c r="D12" s="135"/>
      <c r="E12" s="135"/>
      <c r="F12" s="50"/>
      <c r="G12" s="50"/>
      <c r="H12" s="167"/>
      <c r="I12" s="167"/>
      <c r="J12" s="167"/>
      <c r="K12" s="50"/>
    </row>
    <row r="13" spans="1:11" ht="13.5" customHeight="1">
      <c r="A13" s="352"/>
      <c r="B13" s="63"/>
      <c r="C13" s="167"/>
      <c r="D13" s="135"/>
      <c r="E13" s="135"/>
      <c r="F13" s="50"/>
      <c r="G13" s="50"/>
      <c r="H13" s="167"/>
      <c r="I13" s="167"/>
      <c r="J13" s="167"/>
      <c r="K13" s="50"/>
    </row>
    <row r="14" spans="1:11" ht="13.5" customHeight="1">
      <c r="A14" s="352"/>
      <c r="B14" s="63"/>
      <c r="C14" s="57" t="str">
        <f>txt!B194</f>
        <v>Skalierbar</v>
      </c>
      <c r="D14" s="50"/>
      <c r="E14" s="168" t="str">
        <f>txt!B23</f>
        <v>März 2022</v>
      </c>
      <c r="F14" s="168" t="str">
        <f>txt!B24</f>
        <v>März 2021</v>
      </c>
      <c r="G14" s="50"/>
      <c r="H14" s="57"/>
      <c r="I14" s="165"/>
      <c r="J14" s="168"/>
      <c r="K14" s="168"/>
    </row>
    <row r="15" spans="1:11" ht="13.5" customHeight="1">
      <c r="A15" s="352"/>
      <c r="B15" s="63"/>
      <c r="C15" s="57" t="str">
        <f>txt!B195</f>
        <v>Einheit</v>
      </c>
      <c r="D15" s="57" t="str">
        <f>txt!$B$161</f>
        <v>Währung</v>
      </c>
      <c r="E15" s="170" t="str">
        <f>txt!B166</f>
        <v>Preis</v>
      </c>
      <c r="F15" s="170" t="str">
        <f>txt!B166</f>
        <v>Preis</v>
      </c>
      <c r="G15" s="50"/>
      <c r="H15" s="57"/>
      <c r="I15" s="169"/>
      <c r="J15" s="168"/>
      <c r="K15" s="168"/>
    </row>
    <row r="16" spans="1:11" ht="13.5" customHeight="1">
      <c r="A16" s="63"/>
      <c r="B16" s="63"/>
      <c r="C16" s="63"/>
      <c r="D16" s="63"/>
      <c r="E16" s="63"/>
      <c r="F16" s="63"/>
      <c r="G16" s="63"/>
      <c r="H16" s="63"/>
      <c r="I16" s="63"/>
      <c r="J16" s="50"/>
      <c r="K16" s="50"/>
    </row>
    <row r="17" spans="1:11" ht="40.5" customHeight="1">
      <c r="A17" s="276"/>
      <c r="B17" s="149"/>
      <c r="C17" s="310"/>
      <c r="D17" s="180" t="s">
        <v>159</v>
      </c>
      <c r="E17" s="284"/>
      <c r="F17" s="284"/>
      <c r="G17" s="149"/>
      <c r="H17" s="149"/>
      <c r="I17" s="149"/>
      <c r="J17" s="50"/>
      <c r="K17" s="156"/>
    </row>
    <row r="18" spans="1:11" ht="7.5" customHeight="1">
      <c r="A18" s="111"/>
      <c r="B18" s="111"/>
      <c r="C18" s="111"/>
      <c r="D18" s="111"/>
      <c r="E18" s="111"/>
      <c r="F18" s="111"/>
      <c r="G18" s="111"/>
      <c r="H18" s="111"/>
      <c r="I18" s="111"/>
      <c r="J18" s="80"/>
      <c r="K18" s="111"/>
    </row>
    <row r="19" spans="1:11" ht="40.5" customHeight="1">
      <c r="A19" s="276"/>
      <c r="B19" s="149"/>
      <c r="C19" s="310"/>
      <c r="D19" s="180" t="s">
        <v>159</v>
      </c>
      <c r="E19" s="284"/>
      <c r="F19" s="284"/>
      <c r="G19" s="149"/>
      <c r="H19" s="149"/>
      <c r="I19" s="149"/>
      <c r="J19" s="50"/>
      <c r="K19" s="156"/>
    </row>
    <row r="20" spans="1:11" ht="7.5" customHeight="1">
      <c r="A20" s="111"/>
      <c r="B20" s="111"/>
      <c r="C20" s="111"/>
      <c r="D20" s="111"/>
      <c r="E20" s="111"/>
      <c r="F20" s="111"/>
      <c r="G20" s="111"/>
      <c r="H20" s="111"/>
      <c r="I20" s="111"/>
      <c r="J20" s="80"/>
      <c r="K20" s="111"/>
    </row>
    <row r="21" spans="1:11" ht="40.5" customHeight="1">
      <c r="A21" s="276"/>
      <c r="B21" s="149"/>
      <c r="C21" s="310"/>
      <c r="D21" s="180" t="s">
        <v>159</v>
      </c>
      <c r="E21" s="284"/>
      <c r="F21" s="284"/>
      <c r="G21" s="149"/>
      <c r="H21" s="149"/>
      <c r="I21" s="149"/>
      <c r="J21" s="50"/>
      <c r="K21" s="156"/>
    </row>
    <row r="22" spans="1:11" ht="13.5" customHeight="1">
      <c r="A22" s="156"/>
      <c r="B22" s="156"/>
      <c r="C22" s="156"/>
      <c r="D22" s="156"/>
      <c r="E22" s="156"/>
      <c r="F22" s="156"/>
      <c r="G22" s="156"/>
      <c r="H22" s="156"/>
      <c r="I22" s="156"/>
      <c r="J22" s="68"/>
      <c r="K22" s="156"/>
    </row>
    <row r="23" spans="1:11" ht="40.5" customHeight="1">
      <c r="A23" s="234" t="str">
        <f>txt!B206</f>
        <v>Beispiel: Datenbanklösungen für Kunde x.</v>
      </c>
      <c r="B23" s="156"/>
      <c r="C23" s="348" t="str">
        <f>txt!B159</f>
        <v>Defintion "Kunde in der Schweiz": Adresse des Leistungsbezügers im Inland.</v>
      </c>
      <c r="D23" s="348"/>
      <c r="E23" s="348"/>
      <c r="F23" s="348"/>
      <c r="G23" s="156"/>
      <c r="H23" s="156"/>
      <c r="I23" s="156"/>
      <c r="J23" s="68"/>
      <c r="K23" s="156"/>
    </row>
    <row r="24" spans="1:11" ht="7.5" customHeight="1">
      <c r="A24" s="156"/>
      <c r="B24" s="156"/>
      <c r="C24" s="156"/>
      <c r="D24" s="156"/>
      <c r="E24" s="156"/>
      <c r="F24" s="156"/>
      <c r="G24" s="156"/>
      <c r="H24" s="156"/>
      <c r="I24" s="156"/>
      <c r="J24" s="68"/>
      <c r="K24" s="156"/>
    </row>
    <row r="25" spans="1:11" ht="27" customHeight="1">
      <c r="A25" s="234" t="str">
        <f>txt!B207</f>
        <v>Beispiel: Web-Hosting mit Control Panels für Kunde y.</v>
      </c>
      <c r="B25" s="156"/>
      <c r="C25" s="348" t="str">
        <f>txt!B169</f>
        <v>Die Preise sind ohne Mehrwertsteuer anzugeben.</v>
      </c>
      <c r="D25" s="348"/>
      <c r="E25" s="348"/>
      <c r="F25" s="348"/>
      <c r="G25" s="156"/>
      <c r="H25" s="156"/>
      <c r="I25" s="156"/>
      <c r="J25" s="68"/>
      <c r="K25" s="156"/>
    </row>
    <row r="26" spans="1:11" ht="7.5" customHeight="1">
      <c r="A26" s="156"/>
      <c r="B26" s="156"/>
      <c r="C26" s="156"/>
      <c r="D26" s="156"/>
      <c r="E26" s="156"/>
      <c r="F26" s="156"/>
      <c r="G26" s="156"/>
      <c r="H26" s="156"/>
      <c r="I26" s="156"/>
      <c r="J26" s="68"/>
      <c r="K26" s="156"/>
    </row>
    <row r="27" spans="1:11" ht="40.5" customHeight="1">
      <c r="A27" s="234" t="str">
        <f>txt!B124</f>
        <v>Der Kundenidentifikator (Auftragsnummer, Kundennummer etc.) dient Ihnen ausschliesslich zur Identifizierung des Auftrags im Folgejahr. Sie können aus Sicherheitsgründen diese Nummer anonymisieren.</v>
      </c>
      <c r="B27" s="156"/>
      <c r="C27" s="348" t="str">
        <f>txt!B192</f>
        <v>Unit-Nettopreis: (Pauschale + Unit-Preis * effektiv bezogene Leistung - allfällige Rabatte) / effektiv bezogene Leistung.</v>
      </c>
      <c r="D27" s="348"/>
      <c r="E27" s="348"/>
      <c r="F27" s="348"/>
      <c r="G27" s="156"/>
      <c r="H27" s="156"/>
      <c r="I27" s="156"/>
      <c r="J27" s="68"/>
      <c r="K27" s="156"/>
    </row>
    <row r="28" spans="1:11" ht="13.5" customHeight="1">
      <c r="A28" s="156"/>
      <c r="B28" s="156"/>
      <c r="C28" s="156"/>
      <c r="D28" s="156"/>
      <c r="E28" s="156"/>
      <c r="F28" s="156"/>
      <c r="G28" s="156"/>
      <c r="H28" s="156"/>
      <c r="I28" s="156"/>
      <c r="J28" s="68"/>
      <c r="K28" s="156"/>
    </row>
    <row r="29" spans="1:11" ht="20.100000000000001" customHeight="1">
      <c r="A29" s="234" t="str">
        <f>txt!B125</f>
        <v>Bitte geben Sie den Preis bei Vertragsabschluss an.</v>
      </c>
      <c r="B29" s="187"/>
      <c r="C29" s="187"/>
      <c r="D29" s="187"/>
      <c r="E29" s="187"/>
      <c r="F29" s="187"/>
      <c r="G29" s="187"/>
      <c r="H29" s="187"/>
      <c r="I29" s="187"/>
      <c r="J29" s="68"/>
      <c r="K29" s="187"/>
    </row>
    <row r="30" spans="1:11" ht="13.5" customHeight="1">
      <c r="A30" s="187"/>
      <c r="B30" s="187"/>
      <c r="C30" s="187"/>
      <c r="D30" s="187"/>
      <c r="E30" s="187"/>
      <c r="F30" s="187"/>
      <c r="G30" s="187"/>
      <c r="H30" s="187"/>
      <c r="I30" s="187"/>
      <c r="J30" s="68"/>
      <c r="K30" s="187"/>
    </row>
    <row r="31" spans="1:11" ht="13.5" customHeight="1">
      <c r="A31" s="157" t="str">
        <f>txt!B173&amp;":"</f>
        <v>Bemerkungen:</v>
      </c>
      <c r="B31" s="111"/>
      <c r="C31" s="111"/>
      <c r="D31" s="111"/>
      <c r="E31" s="111"/>
      <c r="F31" s="111"/>
      <c r="G31" s="111"/>
      <c r="H31" s="111"/>
      <c r="I31" s="111"/>
      <c r="J31" s="80"/>
      <c r="K31" s="111"/>
    </row>
    <row r="32" spans="1:11" ht="54" customHeight="1">
      <c r="A32" s="367"/>
      <c r="B32" s="368"/>
      <c r="C32" s="368"/>
      <c r="D32" s="368"/>
      <c r="E32" s="368"/>
      <c r="F32" s="368"/>
      <c r="G32" s="368"/>
      <c r="H32" s="368"/>
      <c r="I32" s="368"/>
      <c r="J32" s="368"/>
      <c r="K32" s="369"/>
    </row>
    <row r="33" spans="1:11" ht="13.5" customHeight="1">
      <c r="A33" s="50"/>
      <c r="B33" s="50"/>
      <c r="C33" s="50"/>
      <c r="D33" s="50"/>
      <c r="E33" s="50"/>
      <c r="F33" s="50"/>
      <c r="G33" s="50"/>
      <c r="H33" s="50"/>
      <c r="I33" s="50"/>
      <c r="J33" s="50"/>
      <c r="K33" s="50"/>
    </row>
    <row r="34" spans="1:11" ht="13.5" customHeight="1">
      <c r="A34" s="78">
        <f>Steuerung!E45</f>
        <v>0</v>
      </c>
      <c r="B34" s="50"/>
      <c r="C34" s="303" t="str">
        <f>txt!$B$221</f>
        <v>ZURÜCK</v>
      </c>
      <c r="D34" s="181"/>
      <c r="E34" s="181"/>
      <c r="F34" s="181"/>
      <c r="G34" s="50"/>
      <c r="H34" s="269" t="str">
        <f>IF($A$17="","",IF($C$17="","",IF($E$17="","",IF($F$17="","",IF(A34=1,txt!B222,"")))))</f>
        <v/>
      </c>
      <c r="I34" s="112"/>
      <c r="J34" s="50"/>
      <c r="K34" s="50"/>
    </row>
    <row r="35" spans="1:11" ht="13.5" customHeight="1">
      <c r="A35" s="78"/>
      <c r="B35" s="50"/>
      <c r="C35" s="181"/>
      <c r="D35" s="181"/>
      <c r="E35" s="181"/>
      <c r="F35" s="181"/>
      <c r="G35" s="50"/>
      <c r="H35" s="62"/>
      <c r="I35" s="112"/>
      <c r="J35" s="50"/>
      <c r="K35" s="50"/>
    </row>
    <row r="36" spans="1:11" ht="13.5" customHeight="1">
      <c r="A36" s="78">
        <f>Steuerung!H$45</f>
        <v>0</v>
      </c>
      <c r="B36" s="50"/>
      <c r="C36" s="50"/>
      <c r="D36" s="50"/>
      <c r="E36" s="50"/>
      <c r="F36" s="50"/>
      <c r="G36" s="50"/>
      <c r="H36" s="269" t="str">
        <f>IF($A$17="","",IF($E$17="","",IF($C$17="","",IF($F$17="","",IF(AND(A34=0,A36=1),txt!B222,"")))))</f>
        <v/>
      </c>
      <c r="I36" s="62"/>
      <c r="J36" s="50"/>
      <c r="K36" s="50"/>
    </row>
    <row r="37" spans="1:11" ht="13.5" customHeight="1">
      <c r="A37" s="78"/>
      <c r="B37" s="50"/>
      <c r="C37" s="50"/>
      <c r="D37" s="50"/>
      <c r="E37" s="50"/>
      <c r="F37" s="50"/>
      <c r="G37" s="50"/>
      <c r="H37" s="62"/>
      <c r="I37" s="62"/>
      <c r="J37" s="50"/>
      <c r="K37" s="50"/>
    </row>
    <row r="38" spans="1:11" ht="13.5" customHeight="1">
      <c r="A38" s="78">
        <f>Steuerung!J$45</f>
        <v>1</v>
      </c>
      <c r="B38" s="50"/>
      <c r="C38" s="50"/>
      <c r="D38" s="50"/>
      <c r="E38" s="50"/>
      <c r="F38" s="50"/>
      <c r="G38" s="50"/>
      <c r="H38" s="274" t="str">
        <f>IF($A$17="","",IF($E$17="","",IF($C$17="","",IF($F$17="","",IF(AND(A34=0,A36=0,A38=1),txt!B222,"")))))</f>
        <v/>
      </c>
      <c r="I38" s="62"/>
      <c r="J38" s="50"/>
      <c r="K38" s="50"/>
    </row>
    <row r="39" spans="1:11" ht="13.5" customHeight="1">
      <c r="A39" s="63"/>
      <c r="B39" s="63"/>
      <c r="C39" s="63"/>
      <c r="D39" s="63"/>
      <c r="E39" s="63"/>
      <c r="F39" s="50"/>
      <c r="G39" s="50"/>
      <c r="H39" s="50"/>
      <c r="I39" s="50"/>
      <c r="J39" s="50"/>
      <c r="K39" s="50"/>
    </row>
    <row r="40" spans="1:11" ht="13.5" customHeight="1">
      <c r="A40" s="50"/>
      <c r="B40" s="50"/>
      <c r="C40" s="50"/>
      <c r="D40" s="50"/>
      <c r="E40" s="50"/>
      <c r="F40" s="50"/>
      <c r="G40" s="50"/>
      <c r="H40" s="50"/>
      <c r="I40" s="50"/>
      <c r="J40" s="50"/>
      <c r="K40" s="50"/>
    </row>
    <row r="41" spans="1:11">
      <c r="A41" s="50"/>
      <c r="B41" s="50"/>
      <c r="C41" s="50"/>
      <c r="D41" s="50"/>
      <c r="E41" s="50"/>
      <c r="F41" s="50"/>
      <c r="G41" s="50"/>
      <c r="H41" s="50"/>
      <c r="I41" s="50"/>
      <c r="J41" s="50"/>
      <c r="K41" s="50"/>
    </row>
    <row r="42" spans="1:11">
      <c r="A42" s="50"/>
      <c r="B42" s="50"/>
      <c r="C42" s="50"/>
      <c r="D42" s="50"/>
      <c r="E42" s="50"/>
      <c r="F42" s="50"/>
      <c r="G42" s="50"/>
      <c r="H42" s="50"/>
      <c r="I42" s="50"/>
      <c r="J42" s="50"/>
      <c r="K42" s="50"/>
    </row>
    <row r="43" spans="1:11">
      <c r="A43" s="50"/>
      <c r="B43" s="50"/>
      <c r="C43" s="50"/>
      <c r="D43" s="50"/>
      <c r="E43" s="50"/>
      <c r="F43" s="50"/>
      <c r="G43" s="50"/>
      <c r="H43" s="50"/>
      <c r="I43" s="50"/>
      <c r="J43" s="50"/>
      <c r="K43" s="50"/>
    </row>
    <row r="44" spans="1:11">
      <c r="A44" s="50"/>
      <c r="B44" s="50"/>
      <c r="C44" s="50"/>
      <c r="D44" s="50"/>
      <c r="E44" s="50"/>
      <c r="F44" s="50"/>
      <c r="G44" s="50"/>
      <c r="H44" s="50"/>
      <c r="I44" s="50"/>
      <c r="J44" s="50"/>
      <c r="K44" s="50"/>
    </row>
    <row r="45" spans="1:11" ht="12.95" customHeight="1">
      <c r="A45" s="50"/>
      <c r="B45" s="50"/>
      <c r="C45" s="50"/>
      <c r="D45" s="50"/>
      <c r="E45" s="50"/>
      <c r="F45" s="50"/>
      <c r="G45" s="50"/>
      <c r="H45" s="50"/>
      <c r="I45" s="50"/>
      <c r="J45" s="50"/>
      <c r="K45" s="50"/>
    </row>
    <row r="46" spans="1:11">
      <c r="A46" s="50"/>
      <c r="B46" s="50"/>
      <c r="C46" s="50"/>
      <c r="D46" s="50"/>
      <c r="E46" s="50"/>
      <c r="F46" s="50"/>
      <c r="G46" s="50"/>
      <c r="H46" s="50"/>
      <c r="I46" s="50"/>
      <c r="J46" s="50"/>
      <c r="K46" s="50"/>
    </row>
    <row r="47" spans="1:11">
      <c r="A47" s="50"/>
      <c r="B47" s="50"/>
      <c r="C47" s="50"/>
      <c r="D47" s="50"/>
      <c r="E47" s="50"/>
      <c r="F47" s="50"/>
      <c r="G47" s="50"/>
      <c r="H47" s="50"/>
      <c r="I47" s="50"/>
      <c r="J47" s="50"/>
      <c r="K47" s="50"/>
    </row>
    <row r="48" spans="1:11">
      <c r="A48" s="50"/>
      <c r="B48" s="50"/>
      <c r="C48" s="50"/>
      <c r="D48" s="50"/>
      <c r="E48" s="50"/>
      <c r="F48" s="50"/>
      <c r="G48" s="50"/>
      <c r="H48" s="50"/>
      <c r="I48" s="50"/>
      <c r="J48" s="50"/>
      <c r="K48" s="50"/>
    </row>
    <row r="49" spans="1:11">
      <c r="A49" s="50"/>
      <c r="B49" s="50"/>
      <c r="C49" s="50"/>
      <c r="D49" s="50"/>
      <c r="E49" s="50"/>
      <c r="F49" s="50"/>
      <c r="G49" s="50"/>
      <c r="H49" s="50"/>
      <c r="I49" s="50"/>
      <c r="J49" s="50"/>
      <c r="K49" s="50"/>
    </row>
    <row r="50" spans="1:11">
      <c r="A50" s="50"/>
      <c r="B50" s="50"/>
      <c r="C50" s="50"/>
      <c r="D50" s="50"/>
      <c r="E50" s="50"/>
      <c r="F50" s="50"/>
      <c r="G50" s="50"/>
      <c r="H50" s="50"/>
      <c r="I50" s="50"/>
      <c r="J50" s="50"/>
      <c r="K50" s="50"/>
    </row>
    <row r="51" spans="1:11">
      <c r="A51" s="50"/>
      <c r="B51" s="50"/>
      <c r="C51" s="50"/>
      <c r="D51" s="50"/>
      <c r="E51" s="50"/>
      <c r="F51" s="50"/>
      <c r="G51" s="50"/>
      <c r="H51" s="50"/>
      <c r="I51" s="50"/>
      <c r="J51" s="50"/>
      <c r="K51" s="50"/>
    </row>
    <row r="52" spans="1:11">
      <c r="A52" s="50"/>
      <c r="B52" s="50"/>
      <c r="C52" s="50"/>
      <c r="D52" s="50"/>
      <c r="E52" s="50"/>
      <c r="F52" s="50"/>
      <c r="G52" s="50"/>
      <c r="H52" s="50"/>
      <c r="I52" s="50"/>
      <c r="J52" s="50"/>
      <c r="K52" s="50"/>
    </row>
    <row r="53" spans="1:11">
      <c r="A53" s="50"/>
      <c r="B53" s="50"/>
      <c r="C53" s="50"/>
      <c r="D53" s="50"/>
      <c r="E53" s="50"/>
      <c r="F53" s="50"/>
      <c r="G53" s="50"/>
      <c r="H53" s="50"/>
      <c r="I53" s="50"/>
      <c r="J53" s="50"/>
      <c r="K53" s="50"/>
    </row>
    <row r="54" spans="1:11">
      <c r="A54" s="50"/>
      <c r="B54" s="50"/>
      <c r="C54" s="50"/>
      <c r="D54" s="50"/>
      <c r="E54" s="50"/>
      <c r="F54" s="50"/>
      <c r="G54" s="50"/>
      <c r="H54" s="50"/>
      <c r="I54" s="50"/>
      <c r="J54" s="50"/>
      <c r="K54" s="50"/>
    </row>
    <row r="55" spans="1:11">
      <c r="A55" s="50"/>
      <c r="B55" s="50"/>
      <c r="C55" s="50"/>
      <c r="D55" s="50"/>
      <c r="E55" s="50"/>
      <c r="F55" s="50"/>
      <c r="G55" s="50"/>
      <c r="H55" s="50"/>
      <c r="I55" s="50"/>
      <c r="J55" s="50"/>
      <c r="K55" s="50"/>
    </row>
    <row r="56" spans="1:11">
      <c r="A56" s="50"/>
      <c r="B56" s="50"/>
      <c r="C56" s="50"/>
      <c r="D56" s="50"/>
      <c r="E56" s="50"/>
      <c r="F56" s="50"/>
      <c r="G56" s="50"/>
      <c r="H56" s="50"/>
      <c r="I56" s="50"/>
      <c r="J56" s="50"/>
      <c r="K56" s="50"/>
    </row>
    <row r="57" spans="1:11">
      <c r="A57" s="50"/>
      <c r="B57" s="50"/>
      <c r="C57" s="50"/>
      <c r="D57" s="50"/>
      <c r="E57" s="50"/>
      <c r="F57" s="50"/>
      <c r="G57" s="50"/>
      <c r="H57" s="50"/>
      <c r="I57" s="50"/>
      <c r="J57" s="50"/>
      <c r="K57" s="50"/>
    </row>
    <row r="58" spans="1:11">
      <c r="A58" s="50"/>
      <c r="B58" s="50"/>
      <c r="C58" s="50"/>
      <c r="D58" s="50"/>
      <c r="E58" s="50"/>
      <c r="F58" s="50"/>
      <c r="G58" s="50"/>
      <c r="H58" s="50"/>
      <c r="I58" s="50"/>
      <c r="J58" s="50"/>
      <c r="K58" s="50"/>
    </row>
    <row r="59" spans="1:11">
      <c r="A59" s="50"/>
      <c r="B59" s="50"/>
      <c r="C59" s="50"/>
      <c r="D59" s="50"/>
      <c r="E59" s="50"/>
      <c r="F59" s="50"/>
      <c r="G59" s="50"/>
      <c r="H59" s="50"/>
      <c r="I59" s="50"/>
      <c r="J59" s="50"/>
      <c r="K59" s="50"/>
    </row>
    <row r="60" spans="1:11">
      <c r="A60" s="50"/>
      <c r="B60" s="50"/>
      <c r="C60" s="50"/>
      <c r="D60" s="50"/>
      <c r="E60" s="50"/>
      <c r="F60" s="50"/>
      <c r="G60" s="50"/>
      <c r="H60" s="50"/>
      <c r="I60" s="50"/>
      <c r="J60" s="50"/>
      <c r="K60" s="50"/>
    </row>
    <row r="61" spans="1:11">
      <c r="A61" s="50"/>
      <c r="B61" s="50"/>
      <c r="C61" s="50"/>
      <c r="D61" s="50"/>
      <c r="E61" s="50"/>
      <c r="F61" s="50"/>
      <c r="G61" s="50"/>
      <c r="H61" s="50"/>
      <c r="I61" s="50"/>
      <c r="J61" s="50"/>
      <c r="K61" s="50"/>
    </row>
    <row r="62" spans="1:11">
      <c r="A62" s="50"/>
      <c r="B62" s="50"/>
      <c r="C62" s="50"/>
      <c r="D62" s="50"/>
      <c r="E62" s="50"/>
      <c r="F62" s="50"/>
      <c r="G62" s="50"/>
      <c r="H62" s="50"/>
      <c r="I62" s="50"/>
      <c r="J62" s="50"/>
      <c r="K62" s="50"/>
    </row>
    <row r="63" spans="1:11">
      <c r="A63" s="50"/>
      <c r="B63" s="50"/>
      <c r="C63" s="50"/>
      <c r="D63" s="50"/>
      <c r="E63" s="50"/>
      <c r="F63" s="50"/>
      <c r="G63" s="50"/>
      <c r="H63" s="50"/>
      <c r="I63" s="50"/>
      <c r="J63" s="50"/>
      <c r="K63" s="50"/>
    </row>
    <row r="64" spans="1:11">
      <c r="A64" s="50"/>
      <c r="B64" s="50"/>
      <c r="C64" s="50"/>
      <c r="D64" s="50"/>
      <c r="E64" s="50"/>
      <c r="F64" s="50"/>
      <c r="G64" s="50"/>
      <c r="H64" s="50"/>
      <c r="I64" s="50"/>
      <c r="J64" s="50"/>
      <c r="K64" s="50"/>
    </row>
    <row r="65" spans="1:11">
      <c r="A65" s="50"/>
      <c r="B65" s="50"/>
      <c r="C65" s="50"/>
      <c r="D65" s="50"/>
      <c r="E65" s="50"/>
      <c r="F65" s="50"/>
      <c r="G65" s="50"/>
      <c r="H65" s="50"/>
      <c r="I65" s="50"/>
      <c r="J65" s="50"/>
      <c r="K65" s="50"/>
    </row>
    <row r="66" spans="1:11">
      <c r="A66" s="50"/>
      <c r="B66" s="50"/>
      <c r="C66" s="50"/>
      <c r="D66" s="50"/>
      <c r="E66" s="50"/>
      <c r="F66" s="50"/>
      <c r="G66" s="50"/>
      <c r="H66" s="50"/>
      <c r="I66" s="50"/>
      <c r="J66" s="50"/>
      <c r="K66" s="50"/>
    </row>
    <row r="67" spans="1:11">
      <c r="A67" s="50"/>
      <c r="B67" s="50"/>
      <c r="C67" s="50"/>
      <c r="D67" s="50"/>
      <c r="E67" s="50"/>
      <c r="F67" s="50"/>
      <c r="G67" s="50"/>
      <c r="H67" s="50"/>
      <c r="I67" s="50"/>
      <c r="J67" s="50"/>
      <c r="K67" s="50"/>
    </row>
    <row r="68" spans="1:11">
      <c r="A68" s="50"/>
      <c r="B68" s="50"/>
      <c r="C68" s="50"/>
      <c r="D68" s="50"/>
      <c r="E68" s="50"/>
      <c r="F68" s="50"/>
      <c r="G68" s="50"/>
      <c r="H68" s="50"/>
      <c r="I68" s="50"/>
      <c r="J68" s="50"/>
      <c r="K68" s="50"/>
    </row>
    <row r="69" spans="1:11">
      <c r="A69" s="50"/>
      <c r="B69" s="50"/>
      <c r="C69" s="50"/>
      <c r="D69" s="50"/>
      <c r="E69" s="50"/>
      <c r="F69" s="50"/>
      <c r="G69" s="50"/>
      <c r="H69" s="50"/>
      <c r="I69" s="50"/>
      <c r="J69" s="50"/>
      <c r="K69" s="50"/>
    </row>
    <row r="70" spans="1:11">
      <c r="A70" s="50"/>
      <c r="B70" s="50"/>
      <c r="C70" s="50"/>
      <c r="D70" s="50"/>
      <c r="E70" s="50"/>
      <c r="F70" s="50"/>
      <c r="G70" s="50"/>
      <c r="H70" s="50"/>
      <c r="I70" s="50"/>
      <c r="J70" s="50"/>
      <c r="K70" s="50"/>
    </row>
    <row r="71" spans="1:11">
      <c r="A71" s="50"/>
      <c r="B71" s="50"/>
      <c r="C71" s="50"/>
      <c r="D71" s="50"/>
      <c r="E71" s="50"/>
      <c r="F71" s="50"/>
      <c r="G71" s="50"/>
      <c r="H71" s="50"/>
      <c r="I71" s="50"/>
      <c r="J71" s="50"/>
      <c r="K71" s="50"/>
    </row>
    <row r="72" spans="1:11">
      <c r="A72" s="50"/>
      <c r="B72" s="50"/>
      <c r="C72" s="50"/>
      <c r="D72" s="50"/>
      <c r="E72" s="50"/>
      <c r="F72" s="50"/>
      <c r="G72" s="50"/>
      <c r="H72" s="50"/>
      <c r="I72" s="50"/>
      <c r="J72" s="50"/>
      <c r="K72" s="50"/>
    </row>
    <row r="73" spans="1:11">
      <c r="A73" s="50"/>
      <c r="B73" s="50"/>
      <c r="C73" s="50"/>
      <c r="D73" s="50"/>
      <c r="E73" s="50"/>
      <c r="F73" s="50"/>
      <c r="G73" s="50"/>
      <c r="H73" s="50"/>
      <c r="I73" s="50"/>
      <c r="J73" s="50"/>
      <c r="K73" s="50"/>
    </row>
    <row r="74" spans="1:11">
      <c r="A74" s="50"/>
      <c r="B74" s="50"/>
      <c r="C74" s="50"/>
      <c r="D74" s="50"/>
      <c r="E74" s="50"/>
      <c r="F74" s="50"/>
      <c r="G74" s="50"/>
      <c r="H74" s="50"/>
      <c r="I74" s="50"/>
      <c r="J74" s="50"/>
      <c r="K74" s="50"/>
    </row>
    <row r="75" spans="1:11">
      <c r="A75" s="50"/>
      <c r="B75" s="50"/>
      <c r="C75" s="50"/>
      <c r="D75" s="50"/>
      <c r="E75" s="50"/>
      <c r="F75" s="50"/>
      <c r="G75" s="50"/>
      <c r="H75" s="50"/>
      <c r="I75" s="50"/>
      <c r="J75" s="50"/>
      <c r="K75" s="50"/>
    </row>
    <row r="76" spans="1:11">
      <c r="A76" s="50"/>
      <c r="B76" s="50"/>
      <c r="C76" s="50"/>
      <c r="D76" s="50"/>
      <c r="E76" s="50"/>
      <c r="F76" s="50"/>
      <c r="G76" s="50"/>
      <c r="H76" s="50"/>
      <c r="I76" s="50"/>
      <c r="J76" s="50"/>
      <c r="K76" s="50"/>
    </row>
    <row r="77" spans="1:11">
      <c r="A77" s="50"/>
      <c r="B77" s="50"/>
      <c r="C77" s="50"/>
      <c r="D77" s="50"/>
      <c r="E77" s="50"/>
      <c r="F77" s="50"/>
      <c r="G77" s="50"/>
      <c r="H77" s="50"/>
      <c r="I77" s="50"/>
      <c r="J77" s="50"/>
      <c r="K77" s="50"/>
    </row>
    <row r="78" spans="1:11">
      <c r="A78" s="50"/>
      <c r="B78" s="50"/>
      <c r="C78" s="50"/>
      <c r="D78" s="50"/>
      <c r="E78" s="50"/>
      <c r="F78" s="50"/>
      <c r="G78" s="50"/>
      <c r="H78" s="50"/>
      <c r="I78" s="50"/>
      <c r="J78" s="50"/>
      <c r="K78" s="50"/>
    </row>
    <row r="79" spans="1:11">
      <c r="A79" s="50"/>
      <c r="B79" s="50"/>
      <c r="C79" s="50"/>
      <c r="D79" s="50"/>
      <c r="E79" s="50"/>
      <c r="F79" s="50"/>
      <c r="G79" s="50"/>
      <c r="H79" s="50"/>
      <c r="I79" s="50"/>
      <c r="J79" s="50"/>
      <c r="K79" s="50"/>
    </row>
    <row r="80" spans="1:11">
      <c r="A80" s="50"/>
      <c r="B80" s="50"/>
      <c r="C80" s="50"/>
      <c r="D80" s="50"/>
      <c r="E80" s="50"/>
      <c r="F80" s="50"/>
      <c r="G80" s="50"/>
      <c r="H80" s="50"/>
      <c r="I80" s="50"/>
      <c r="J80" s="50"/>
      <c r="K80" s="50"/>
    </row>
    <row r="81" spans="1:11">
      <c r="A81" s="50"/>
      <c r="B81" s="50"/>
      <c r="C81" s="50"/>
      <c r="D81" s="50"/>
      <c r="E81" s="50"/>
      <c r="F81" s="50"/>
      <c r="G81" s="50"/>
      <c r="H81" s="50"/>
      <c r="I81" s="50"/>
      <c r="J81" s="50"/>
      <c r="K81" s="50"/>
    </row>
    <row r="82" spans="1:11">
      <c r="A82" s="50"/>
      <c r="B82" s="50"/>
      <c r="C82" s="50"/>
      <c r="D82" s="50"/>
      <c r="E82" s="50"/>
      <c r="F82" s="50"/>
      <c r="G82" s="50"/>
      <c r="H82" s="50"/>
      <c r="I82" s="50"/>
      <c r="J82" s="50"/>
      <c r="K82" s="50"/>
    </row>
    <row r="83" spans="1:11">
      <c r="A83" s="50"/>
      <c r="B83" s="50"/>
      <c r="C83" s="50"/>
      <c r="D83" s="50"/>
      <c r="E83" s="50"/>
      <c r="F83" s="50"/>
      <c r="G83" s="50"/>
      <c r="H83" s="50"/>
      <c r="I83" s="50"/>
      <c r="J83" s="50"/>
      <c r="K83" s="50"/>
    </row>
    <row r="84" spans="1:11">
      <c r="A84" s="50"/>
      <c r="B84" s="50"/>
      <c r="C84" s="50"/>
      <c r="D84" s="50"/>
      <c r="E84" s="50"/>
      <c r="F84" s="50"/>
      <c r="G84" s="50"/>
      <c r="H84" s="50"/>
      <c r="I84" s="50"/>
      <c r="J84" s="50"/>
      <c r="K84" s="50"/>
    </row>
    <row r="85" spans="1:11">
      <c r="A85" s="50"/>
      <c r="B85" s="50"/>
      <c r="C85" s="50"/>
      <c r="D85" s="50"/>
      <c r="E85" s="50"/>
      <c r="F85" s="50"/>
      <c r="G85" s="50"/>
      <c r="H85" s="50"/>
      <c r="I85" s="50"/>
      <c r="J85" s="50"/>
      <c r="K85" s="50"/>
    </row>
    <row r="86" spans="1:11">
      <c r="A86" s="50"/>
      <c r="B86" s="50"/>
      <c r="C86" s="50"/>
      <c r="D86" s="50"/>
      <c r="E86" s="50"/>
      <c r="F86" s="50"/>
      <c r="G86" s="50"/>
      <c r="H86" s="50"/>
      <c r="I86" s="50"/>
      <c r="J86" s="50"/>
      <c r="K86" s="50"/>
    </row>
    <row r="87" spans="1:11">
      <c r="A87" s="50"/>
      <c r="B87" s="50"/>
      <c r="C87" s="50"/>
      <c r="D87" s="50"/>
      <c r="E87" s="50"/>
      <c r="F87" s="50"/>
      <c r="G87" s="50"/>
      <c r="H87" s="50"/>
      <c r="I87" s="50"/>
      <c r="J87" s="50"/>
      <c r="K87" s="50"/>
    </row>
    <row r="88" spans="1:11">
      <c r="A88" s="50"/>
      <c r="B88" s="50"/>
      <c r="C88" s="50"/>
      <c r="D88" s="50"/>
      <c r="E88" s="50"/>
      <c r="F88" s="50"/>
      <c r="G88" s="50"/>
      <c r="H88" s="50"/>
      <c r="I88" s="50"/>
      <c r="J88" s="50"/>
      <c r="K88" s="50"/>
    </row>
    <row r="89" spans="1:11">
      <c r="A89" s="50"/>
      <c r="B89" s="50"/>
      <c r="C89" s="50"/>
      <c r="D89" s="50"/>
      <c r="E89" s="50"/>
      <c r="F89" s="50"/>
      <c r="G89" s="50"/>
      <c r="H89" s="50"/>
      <c r="I89" s="50"/>
      <c r="J89" s="50"/>
      <c r="K89" s="50"/>
    </row>
    <row r="90" spans="1:11">
      <c r="A90" s="50"/>
      <c r="B90" s="50"/>
      <c r="C90" s="50"/>
      <c r="D90" s="50"/>
      <c r="E90" s="50"/>
      <c r="F90" s="50"/>
      <c r="G90" s="50"/>
      <c r="H90" s="50"/>
      <c r="I90" s="50"/>
      <c r="J90" s="50"/>
      <c r="K90" s="50"/>
    </row>
    <row r="91" spans="1:11">
      <c r="A91" s="50"/>
      <c r="B91" s="50"/>
      <c r="C91" s="50"/>
      <c r="D91" s="50"/>
      <c r="E91" s="50"/>
      <c r="F91" s="50"/>
      <c r="G91" s="50"/>
      <c r="H91" s="50"/>
      <c r="I91" s="50"/>
      <c r="J91" s="50"/>
      <c r="K91" s="50"/>
    </row>
    <row r="92" spans="1:11">
      <c r="A92" s="50"/>
      <c r="B92" s="50"/>
      <c r="C92" s="50"/>
      <c r="D92" s="50"/>
      <c r="E92" s="50"/>
      <c r="F92" s="50"/>
      <c r="G92" s="50"/>
      <c r="H92" s="50"/>
      <c r="I92" s="50"/>
      <c r="J92" s="50"/>
      <c r="K92" s="50"/>
    </row>
    <row r="93" spans="1:11">
      <c r="A93" s="50"/>
      <c r="B93" s="50"/>
      <c r="C93" s="50"/>
      <c r="D93" s="50"/>
      <c r="E93" s="50"/>
      <c r="F93" s="50"/>
      <c r="G93" s="50"/>
      <c r="H93" s="50"/>
      <c r="I93" s="50"/>
      <c r="J93" s="50"/>
      <c r="K93" s="50"/>
    </row>
    <row r="94" spans="1:11">
      <c r="A94" s="50"/>
      <c r="B94" s="50"/>
      <c r="C94" s="50"/>
      <c r="D94" s="50"/>
      <c r="E94" s="50"/>
      <c r="F94" s="50"/>
      <c r="G94" s="50"/>
      <c r="H94" s="50"/>
      <c r="I94" s="50"/>
      <c r="J94" s="50"/>
      <c r="K94" s="50"/>
    </row>
    <row r="95" spans="1:11">
      <c r="A95" s="50"/>
      <c r="B95" s="50"/>
      <c r="C95" s="50"/>
      <c r="D95" s="50"/>
      <c r="E95" s="50"/>
      <c r="F95" s="50"/>
      <c r="G95" s="50"/>
      <c r="H95" s="50"/>
      <c r="I95" s="50"/>
      <c r="J95" s="50"/>
      <c r="K95" s="50"/>
    </row>
    <row r="96" spans="1:11">
      <c r="A96" s="50"/>
      <c r="B96" s="50"/>
      <c r="C96" s="50"/>
      <c r="D96" s="50"/>
      <c r="E96" s="50"/>
      <c r="F96" s="50"/>
      <c r="G96" s="50"/>
      <c r="H96" s="50"/>
      <c r="I96" s="50"/>
      <c r="J96" s="50"/>
      <c r="K96" s="50"/>
    </row>
    <row r="97" spans="1:11">
      <c r="A97" s="50"/>
      <c r="B97" s="50"/>
      <c r="C97" s="50"/>
      <c r="D97" s="50"/>
      <c r="E97" s="50"/>
      <c r="F97" s="50"/>
      <c r="G97" s="50"/>
      <c r="H97" s="50"/>
      <c r="I97" s="50"/>
      <c r="J97" s="50"/>
      <c r="K97" s="50"/>
    </row>
    <row r="98" spans="1:11">
      <c r="A98" s="50"/>
      <c r="B98" s="50"/>
      <c r="C98" s="50"/>
      <c r="D98" s="50"/>
      <c r="E98" s="50"/>
      <c r="F98" s="50"/>
      <c r="G98" s="50"/>
      <c r="H98" s="50"/>
      <c r="I98" s="50"/>
      <c r="J98" s="50"/>
      <c r="K98" s="50"/>
    </row>
    <row r="99" spans="1:11">
      <c r="A99" s="50"/>
      <c r="B99" s="50"/>
      <c r="C99" s="50"/>
      <c r="D99" s="50"/>
      <c r="E99" s="50"/>
      <c r="F99" s="50"/>
      <c r="G99" s="50"/>
      <c r="H99" s="50"/>
      <c r="I99" s="50"/>
      <c r="J99" s="50"/>
      <c r="K99" s="50"/>
    </row>
    <row r="100" spans="1:11">
      <c r="A100" s="50"/>
      <c r="B100" s="50"/>
      <c r="C100" s="50"/>
      <c r="D100" s="50"/>
      <c r="E100" s="50"/>
      <c r="F100" s="50"/>
      <c r="G100" s="50"/>
      <c r="H100" s="50"/>
      <c r="I100" s="50"/>
      <c r="J100" s="50"/>
      <c r="K100" s="50"/>
    </row>
    <row r="101" spans="1:11">
      <c r="A101" s="50"/>
      <c r="B101" s="50"/>
      <c r="C101" s="50"/>
      <c r="D101" s="50"/>
      <c r="E101" s="50"/>
      <c r="F101" s="50"/>
      <c r="G101" s="50"/>
      <c r="H101" s="50"/>
      <c r="I101" s="50"/>
      <c r="J101" s="50"/>
      <c r="K101" s="50"/>
    </row>
    <row r="102" spans="1:11">
      <c r="A102" s="50"/>
      <c r="B102" s="50"/>
      <c r="C102" s="50"/>
      <c r="D102" s="50"/>
      <c r="E102" s="50"/>
      <c r="F102" s="50"/>
      <c r="G102" s="50"/>
      <c r="H102" s="50"/>
      <c r="I102" s="50"/>
      <c r="J102" s="50"/>
      <c r="K102" s="50"/>
    </row>
    <row r="103" spans="1:11">
      <c r="A103" s="50"/>
      <c r="B103" s="50"/>
      <c r="C103" s="50"/>
      <c r="D103" s="50"/>
      <c r="E103" s="50"/>
      <c r="F103" s="50"/>
      <c r="G103" s="50"/>
      <c r="H103" s="50"/>
      <c r="I103" s="50"/>
      <c r="J103" s="50"/>
      <c r="K103" s="50"/>
    </row>
    <row r="104" spans="1:11">
      <c r="A104" s="50"/>
      <c r="B104" s="50"/>
      <c r="C104" s="50"/>
      <c r="D104" s="50"/>
      <c r="E104" s="50"/>
      <c r="F104" s="50"/>
      <c r="G104" s="50"/>
      <c r="H104" s="50"/>
      <c r="I104" s="50"/>
      <c r="J104" s="50"/>
      <c r="K104" s="50"/>
    </row>
    <row r="105" spans="1:11">
      <c r="A105" s="50"/>
      <c r="B105" s="50"/>
      <c r="C105" s="50"/>
      <c r="D105" s="50"/>
      <c r="E105" s="50"/>
      <c r="F105" s="50"/>
      <c r="G105" s="50"/>
      <c r="H105" s="50"/>
      <c r="I105" s="50"/>
      <c r="J105" s="50"/>
      <c r="K105" s="50"/>
    </row>
    <row r="106" spans="1:11">
      <c r="A106" s="50"/>
      <c r="B106" s="50"/>
      <c r="C106" s="50"/>
      <c r="D106" s="50"/>
      <c r="E106" s="50"/>
      <c r="F106" s="50"/>
      <c r="G106" s="50"/>
      <c r="H106" s="50"/>
      <c r="I106" s="50"/>
      <c r="J106" s="50"/>
      <c r="K106" s="50"/>
    </row>
    <row r="107" spans="1:11">
      <c r="A107" s="50"/>
      <c r="B107" s="50"/>
      <c r="C107" s="50"/>
      <c r="D107" s="50"/>
      <c r="E107" s="50"/>
      <c r="F107" s="50"/>
      <c r="G107" s="50"/>
      <c r="H107" s="50"/>
      <c r="I107" s="50"/>
      <c r="J107" s="50"/>
      <c r="K107" s="50"/>
    </row>
    <row r="108" spans="1:11">
      <c r="A108" s="50"/>
      <c r="B108" s="50"/>
      <c r="C108" s="50"/>
      <c r="D108" s="50"/>
      <c r="E108" s="50"/>
      <c r="F108" s="50"/>
      <c r="G108" s="50"/>
      <c r="H108" s="50"/>
      <c r="I108" s="50"/>
      <c r="J108" s="50"/>
      <c r="K108" s="50"/>
    </row>
    <row r="109" spans="1:11">
      <c r="A109" s="50"/>
      <c r="B109" s="50"/>
      <c r="C109" s="50"/>
      <c r="D109" s="50"/>
      <c r="E109" s="50"/>
      <c r="F109" s="50"/>
      <c r="G109" s="50"/>
      <c r="H109" s="50"/>
      <c r="I109" s="50"/>
      <c r="J109" s="50"/>
      <c r="K109" s="50"/>
    </row>
    <row r="110" spans="1:11">
      <c r="A110" s="50"/>
      <c r="B110" s="50"/>
      <c r="C110" s="50"/>
      <c r="D110" s="50"/>
      <c r="E110" s="50"/>
      <c r="F110" s="50"/>
      <c r="G110" s="50"/>
      <c r="H110" s="50"/>
      <c r="I110" s="50"/>
      <c r="J110" s="50"/>
      <c r="K110" s="50"/>
    </row>
    <row r="111" spans="1:11">
      <c r="A111" s="50"/>
      <c r="B111" s="50"/>
      <c r="C111" s="50"/>
      <c r="D111" s="50"/>
      <c r="E111" s="50"/>
      <c r="F111" s="50"/>
      <c r="G111" s="50"/>
      <c r="H111" s="50"/>
      <c r="I111" s="50"/>
      <c r="J111" s="50"/>
      <c r="K111" s="50"/>
    </row>
    <row r="112" spans="1:11">
      <c r="A112" s="50"/>
      <c r="B112" s="50"/>
      <c r="C112" s="50"/>
      <c r="D112" s="50"/>
      <c r="E112" s="50"/>
      <c r="F112" s="50"/>
      <c r="G112" s="50"/>
      <c r="H112" s="50"/>
      <c r="I112" s="50"/>
      <c r="J112" s="50"/>
      <c r="K112" s="50"/>
    </row>
    <row r="113" spans="1:11">
      <c r="A113" s="50"/>
      <c r="B113" s="50"/>
      <c r="C113" s="50"/>
      <c r="D113" s="50"/>
      <c r="E113" s="50"/>
      <c r="F113" s="50"/>
      <c r="G113" s="50"/>
      <c r="H113" s="50"/>
      <c r="I113" s="50"/>
      <c r="J113" s="50"/>
      <c r="K113" s="50"/>
    </row>
    <row r="114" spans="1:11">
      <c r="A114" s="50"/>
      <c r="B114" s="50"/>
      <c r="C114" s="50"/>
      <c r="D114" s="50"/>
      <c r="E114" s="50"/>
      <c r="F114" s="50"/>
      <c r="G114" s="50"/>
      <c r="H114" s="50"/>
      <c r="I114" s="50"/>
      <c r="J114" s="50"/>
      <c r="K114" s="50"/>
    </row>
    <row r="115" spans="1:11">
      <c r="A115" s="50"/>
      <c r="B115" s="50"/>
      <c r="C115" s="50"/>
      <c r="D115" s="50"/>
      <c r="E115" s="50"/>
      <c r="F115" s="50"/>
      <c r="G115" s="50"/>
      <c r="H115" s="50"/>
      <c r="I115" s="50"/>
      <c r="J115" s="50"/>
      <c r="K115" s="50"/>
    </row>
    <row r="116" spans="1:11">
      <c r="A116" s="50"/>
      <c r="B116" s="50"/>
      <c r="C116" s="50"/>
      <c r="D116" s="50"/>
      <c r="E116" s="50"/>
      <c r="F116" s="50"/>
      <c r="G116" s="50"/>
      <c r="H116" s="50"/>
      <c r="I116" s="50"/>
      <c r="J116" s="50"/>
      <c r="K116" s="50"/>
    </row>
    <row r="117" spans="1:11">
      <c r="A117" s="50"/>
      <c r="B117" s="50"/>
      <c r="C117" s="50"/>
      <c r="D117" s="50"/>
      <c r="E117" s="50"/>
      <c r="F117" s="50"/>
      <c r="G117" s="50"/>
      <c r="H117" s="50"/>
      <c r="I117" s="50"/>
      <c r="J117" s="50"/>
      <c r="K117" s="50"/>
    </row>
    <row r="118" spans="1:11">
      <c r="A118" s="50"/>
      <c r="B118" s="50"/>
      <c r="C118" s="50"/>
      <c r="D118" s="50"/>
      <c r="E118" s="50"/>
      <c r="F118" s="50"/>
      <c r="G118" s="50"/>
      <c r="H118" s="50"/>
      <c r="I118" s="50"/>
      <c r="J118" s="50"/>
      <c r="K118" s="50"/>
    </row>
    <row r="119" spans="1:11">
      <c r="A119" s="50"/>
      <c r="B119" s="50"/>
      <c r="C119" s="50"/>
      <c r="D119" s="50"/>
      <c r="E119" s="50"/>
      <c r="F119" s="50"/>
      <c r="G119" s="50"/>
      <c r="H119" s="50"/>
      <c r="I119" s="50"/>
      <c r="J119" s="50"/>
      <c r="K119" s="50"/>
    </row>
    <row r="120" spans="1:11">
      <c r="A120" s="50"/>
      <c r="B120" s="50"/>
      <c r="C120" s="50"/>
      <c r="D120" s="50"/>
      <c r="E120" s="50"/>
      <c r="F120" s="50"/>
      <c r="G120" s="50"/>
      <c r="H120" s="50"/>
      <c r="I120" s="50"/>
      <c r="J120" s="50"/>
      <c r="K120" s="50"/>
    </row>
    <row r="121" spans="1:11">
      <c r="A121" s="50"/>
      <c r="B121" s="50"/>
      <c r="C121" s="50"/>
      <c r="D121" s="50"/>
      <c r="E121" s="50"/>
      <c r="F121" s="50"/>
      <c r="G121" s="50"/>
      <c r="H121" s="50"/>
      <c r="I121" s="50"/>
      <c r="J121" s="50"/>
      <c r="K121" s="50"/>
    </row>
    <row r="122" spans="1:11">
      <c r="A122" s="50"/>
      <c r="B122" s="50"/>
      <c r="C122" s="50"/>
      <c r="D122" s="50"/>
      <c r="E122" s="50"/>
      <c r="F122" s="50"/>
      <c r="G122" s="50"/>
      <c r="H122" s="50"/>
      <c r="I122" s="50"/>
      <c r="J122" s="50"/>
      <c r="K122" s="50"/>
    </row>
    <row r="123" spans="1:11">
      <c r="A123" s="50"/>
      <c r="B123" s="50"/>
      <c r="C123" s="50"/>
      <c r="D123" s="50"/>
      <c r="E123" s="50"/>
      <c r="F123" s="50"/>
      <c r="G123" s="50"/>
      <c r="H123" s="50"/>
      <c r="I123" s="50"/>
      <c r="J123" s="50"/>
      <c r="K123" s="50"/>
    </row>
    <row r="124" spans="1:11">
      <c r="A124" s="50"/>
      <c r="B124" s="50"/>
      <c r="C124" s="50"/>
      <c r="D124" s="50"/>
      <c r="E124" s="50"/>
      <c r="F124" s="50"/>
      <c r="G124" s="50"/>
      <c r="H124" s="50"/>
      <c r="I124" s="50"/>
      <c r="J124" s="50"/>
      <c r="K124" s="50"/>
    </row>
    <row r="125" spans="1:11">
      <c r="A125" s="50"/>
      <c r="B125" s="50"/>
      <c r="C125" s="50"/>
      <c r="D125" s="50"/>
      <c r="E125" s="50"/>
      <c r="F125" s="50"/>
      <c r="G125" s="50"/>
      <c r="H125" s="50"/>
      <c r="I125" s="50"/>
      <c r="J125" s="50"/>
      <c r="K125" s="50"/>
    </row>
    <row r="126" spans="1:11">
      <c r="A126" s="50"/>
      <c r="B126" s="50"/>
      <c r="C126" s="50"/>
      <c r="D126" s="50"/>
      <c r="E126" s="50"/>
      <c r="F126" s="50"/>
      <c r="G126" s="50"/>
      <c r="H126" s="50"/>
      <c r="I126" s="50"/>
      <c r="J126" s="50"/>
      <c r="K126" s="50"/>
    </row>
    <row r="127" spans="1:11">
      <c r="A127" s="50"/>
      <c r="B127" s="50"/>
      <c r="C127" s="50"/>
      <c r="D127" s="50"/>
      <c r="E127" s="50"/>
      <c r="F127" s="50"/>
      <c r="G127" s="50"/>
      <c r="H127" s="50"/>
      <c r="I127" s="50"/>
      <c r="J127" s="50"/>
      <c r="K127" s="50"/>
    </row>
    <row r="128" spans="1:11">
      <c r="A128" s="50"/>
      <c r="B128" s="50"/>
      <c r="C128" s="50"/>
      <c r="D128" s="50"/>
      <c r="E128" s="50"/>
      <c r="F128" s="50"/>
      <c r="G128" s="50"/>
      <c r="H128" s="50"/>
      <c r="I128" s="50"/>
      <c r="J128" s="50"/>
      <c r="K128" s="50"/>
    </row>
    <row r="129" spans="1:11">
      <c r="A129" s="50"/>
      <c r="B129" s="50"/>
      <c r="C129" s="50"/>
      <c r="D129" s="50"/>
      <c r="E129" s="50"/>
      <c r="F129" s="50"/>
      <c r="G129" s="50"/>
      <c r="H129" s="50"/>
      <c r="I129" s="50"/>
      <c r="J129" s="50"/>
      <c r="K129" s="50"/>
    </row>
    <row r="130" spans="1:11">
      <c r="A130" s="50"/>
      <c r="B130" s="50"/>
      <c r="C130" s="50"/>
      <c r="D130" s="50"/>
      <c r="E130" s="50"/>
      <c r="F130" s="50"/>
      <c r="G130" s="50"/>
      <c r="H130" s="50"/>
      <c r="I130" s="50"/>
      <c r="J130" s="50"/>
      <c r="K130" s="50"/>
    </row>
    <row r="131" spans="1:11">
      <c r="A131" s="50"/>
      <c r="B131" s="50"/>
      <c r="C131" s="50"/>
      <c r="D131" s="50"/>
      <c r="E131" s="50"/>
      <c r="F131" s="50"/>
      <c r="G131" s="50"/>
      <c r="H131" s="50"/>
      <c r="I131" s="50"/>
      <c r="J131" s="50"/>
      <c r="K131" s="50"/>
    </row>
    <row r="132" spans="1:11">
      <c r="A132" s="50"/>
      <c r="B132" s="50"/>
      <c r="C132" s="50"/>
      <c r="D132" s="50"/>
      <c r="E132" s="50"/>
      <c r="F132" s="50"/>
      <c r="G132" s="50"/>
      <c r="H132" s="50"/>
      <c r="I132" s="50"/>
      <c r="J132" s="50"/>
      <c r="K132" s="50"/>
    </row>
    <row r="133" spans="1:11">
      <c r="A133" s="50"/>
      <c r="B133" s="50"/>
      <c r="C133" s="50"/>
      <c r="D133" s="50"/>
      <c r="E133" s="50"/>
      <c r="F133" s="50"/>
      <c r="G133" s="50"/>
      <c r="H133" s="50"/>
      <c r="I133" s="50"/>
      <c r="J133" s="50"/>
      <c r="K133" s="50"/>
    </row>
    <row r="134" spans="1:11">
      <c r="A134" s="50"/>
      <c r="B134" s="50"/>
      <c r="C134" s="50"/>
      <c r="D134" s="50"/>
      <c r="E134" s="50"/>
      <c r="F134" s="50"/>
      <c r="G134" s="50"/>
      <c r="H134" s="50"/>
      <c r="I134" s="50"/>
      <c r="J134" s="50"/>
      <c r="K134" s="50"/>
    </row>
    <row r="135" spans="1:11">
      <c r="A135" s="50"/>
      <c r="B135" s="50"/>
      <c r="C135" s="50"/>
      <c r="D135" s="50"/>
      <c r="E135" s="50"/>
      <c r="F135" s="50"/>
      <c r="G135" s="50"/>
      <c r="H135" s="50"/>
      <c r="I135" s="50"/>
      <c r="J135" s="50"/>
      <c r="K135" s="50"/>
    </row>
    <row r="136" spans="1:11">
      <c r="A136" s="50"/>
      <c r="B136" s="50"/>
      <c r="C136" s="50"/>
      <c r="D136" s="50"/>
      <c r="E136" s="50"/>
      <c r="F136" s="50"/>
      <c r="G136" s="50"/>
      <c r="H136" s="50"/>
      <c r="I136" s="50"/>
      <c r="J136" s="50"/>
      <c r="K136" s="50"/>
    </row>
    <row r="137" spans="1:11">
      <c r="A137" s="50"/>
      <c r="B137" s="50"/>
      <c r="C137" s="50"/>
      <c r="D137" s="50"/>
      <c r="E137" s="50"/>
      <c r="F137" s="50"/>
      <c r="G137" s="50"/>
      <c r="H137" s="50"/>
      <c r="I137" s="50"/>
      <c r="J137" s="50"/>
      <c r="K137" s="50"/>
    </row>
    <row r="138" spans="1:11">
      <c r="A138" s="50"/>
      <c r="B138" s="50"/>
      <c r="C138" s="50"/>
      <c r="D138" s="50"/>
      <c r="E138" s="50"/>
      <c r="F138" s="50"/>
      <c r="G138" s="50"/>
      <c r="H138" s="50"/>
      <c r="I138" s="50"/>
      <c r="J138" s="50"/>
      <c r="K138" s="50"/>
    </row>
    <row r="139" spans="1:11">
      <c r="A139" s="50"/>
      <c r="B139" s="50"/>
      <c r="C139" s="50"/>
      <c r="D139" s="50"/>
      <c r="E139" s="50"/>
      <c r="F139" s="50"/>
      <c r="G139" s="50"/>
      <c r="H139" s="50"/>
      <c r="I139" s="50"/>
      <c r="J139" s="50"/>
      <c r="K139" s="50"/>
    </row>
    <row r="140" spans="1:11">
      <c r="A140" s="50"/>
      <c r="B140" s="50"/>
      <c r="C140" s="50"/>
      <c r="D140" s="50"/>
      <c r="E140" s="50"/>
      <c r="F140" s="50"/>
      <c r="G140" s="50"/>
      <c r="H140" s="50"/>
      <c r="I140" s="50"/>
      <c r="J140" s="50"/>
      <c r="K140" s="50"/>
    </row>
    <row r="141" spans="1:11">
      <c r="A141" s="50"/>
      <c r="B141" s="50"/>
      <c r="C141" s="50"/>
      <c r="D141" s="50"/>
      <c r="E141" s="50"/>
      <c r="F141" s="50"/>
      <c r="G141" s="50"/>
      <c r="H141" s="50"/>
      <c r="I141" s="50"/>
      <c r="J141" s="50"/>
      <c r="K141" s="50"/>
    </row>
    <row r="142" spans="1:11">
      <c r="A142" s="50"/>
      <c r="B142" s="50"/>
      <c r="C142" s="50"/>
      <c r="D142" s="50"/>
      <c r="E142" s="50"/>
      <c r="F142" s="50"/>
      <c r="G142" s="50"/>
      <c r="H142" s="50"/>
      <c r="I142" s="50"/>
      <c r="J142" s="50"/>
      <c r="K142" s="50"/>
    </row>
    <row r="143" spans="1:11">
      <c r="A143" s="50"/>
      <c r="B143" s="50"/>
      <c r="C143" s="50"/>
      <c r="D143" s="50"/>
      <c r="E143" s="50"/>
      <c r="F143" s="50"/>
      <c r="G143" s="50"/>
      <c r="H143" s="50"/>
      <c r="I143" s="50"/>
      <c r="J143" s="50"/>
      <c r="K143" s="50"/>
    </row>
    <row r="144" spans="1:11">
      <c r="A144" s="50"/>
      <c r="B144" s="50"/>
      <c r="C144" s="50"/>
      <c r="D144" s="50"/>
      <c r="E144" s="50"/>
      <c r="F144" s="50"/>
      <c r="G144" s="50"/>
      <c r="H144" s="50"/>
      <c r="I144" s="50"/>
      <c r="J144" s="50"/>
      <c r="K144" s="50"/>
    </row>
    <row r="145" spans="1:11">
      <c r="A145" s="50"/>
      <c r="B145" s="50"/>
      <c r="C145" s="50"/>
      <c r="D145" s="50"/>
      <c r="E145" s="50"/>
      <c r="F145" s="50"/>
      <c r="G145" s="50"/>
      <c r="H145" s="50"/>
      <c r="I145" s="50"/>
      <c r="J145" s="50"/>
      <c r="K145" s="50"/>
    </row>
    <row r="146" spans="1:11">
      <c r="A146" s="50"/>
      <c r="B146" s="50"/>
      <c r="C146" s="50"/>
      <c r="D146" s="50"/>
      <c r="E146" s="50"/>
      <c r="F146" s="50"/>
      <c r="G146" s="50"/>
      <c r="H146" s="50"/>
      <c r="I146" s="50"/>
      <c r="J146" s="50"/>
      <c r="K146" s="50"/>
    </row>
    <row r="147" spans="1:11">
      <c r="A147" s="50"/>
      <c r="B147" s="50"/>
      <c r="C147" s="50"/>
      <c r="D147" s="50"/>
      <c r="E147" s="50"/>
      <c r="F147" s="50"/>
      <c r="G147" s="50"/>
      <c r="H147" s="50"/>
      <c r="I147" s="50"/>
      <c r="J147" s="50"/>
      <c r="K147" s="50"/>
    </row>
    <row r="148" spans="1:11">
      <c r="A148" s="50"/>
      <c r="B148" s="50"/>
      <c r="C148" s="50"/>
      <c r="D148" s="50"/>
      <c r="E148" s="50"/>
      <c r="F148" s="50"/>
      <c r="G148" s="50"/>
      <c r="H148" s="50"/>
      <c r="I148" s="50"/>
      <c r="J148" s="50"/>
      <c r="K148" s="50"/>
    </row>
    <row r="149" spans="1:11">
      <c r="A149" s="50"/>
      <c r="B149" s="50"/>
      <c r="C149" s="50"/>
      <c r="D149" s="50"/>
      <c r="E149" s="50"/>
      <c r="F149" s="50"/>
      <c r="G149" s="50"/>
      <c r="H149" s="50"/>
      <c r="I149" s="50"/>
      <c r="J149" s="50"/>
      <c r="K149" s="50"/>
    </row>
    <row r="150" spans="1:11">
      <c r="A150" s="50"/>
      <c r="B150" s="50"/>
      <c r="C150" s="50"/>
      <c r="D150" s="50"/>
      <c r="E150" s="50"/>
      <c r="F150" s="50"/>
      <c r="G150" s="50"/>
      <c r="H150" s="50"/>
      <c r="I150" s="50"/>
      <c r="J150" s="50"/>
      <c r="K150" s="50"/>
    </row>
    <row r="151" spans="1:11">
      <c r="A151" s="50"/>
      <c r="B151" s="50"/>
      <c r="C151" s="50"/>
      <c r="D151" s="50"/>
      <c r="E151" s="50"/>
      <c r="F151" s="50"/>
      <c r="G151" s="50"/>
      <c r="H151" s="50"/>
      <c r="I151" s="50"/>
      <c r="J151" s="50"/>
      <c r="K151" s="50"/>
    </row>
    <row r="152" spans="1:11">
      <c r="A152" s="50"/>
      <c r="B152" s="50"/>
      <c r="C152" s="50"/>
      <c r="D152" s="50"/>
      <c r="E152" s="50"/>
      <c r="F152" s="50"/>
      <c r="G152" s="50"/>
      <c r="H152" s="50"/>
      <c r="I152" s="50"/>
      <c r="J152" s="50"/>
      <c r="K152" s="50"/>
    </row>
    <row r="153" spans="1:11">
      <c r="A153" s="50"/>
      <c r="B153" s="50"/>
      <c r="C153" s="50"/>
      <c r="D153" s="50"/>
      <c r="E153" s="50"/>
      <c r="F153" s="50"/>
      <c r="G153" s="50"/>
      <c r="H153" s="50"/>
      <c r="I153" s="50"/>
      <c r="J153" s="50"/>
      <c r="K153" s="50"/>
    </row>
    <row r="154" spans="1:11">
      <c r="A154" s="50"/>
      <c r="B154" s="50"/>
      <c r="C154" s="50"/>
      <c r="D154" s="50"/>
      <c r="E154" s="50"/>
      <c r="F154" s="50"/>
      <c r="G154" s="50"/>
      <c r="H154" s="50"/>
      <c r="I154" s="50"/>
      <c r="J154" s="50"/>
      <c r="K154" s="50"/>
    </row>
    <row r="155" spans="1:11">
      <c r="A155" s="50"/>
      <c r="B155" s="50"/>
      <c r="C155" s="50"/>
      <c r="D155" s="50"/>
      <c r="E155" s="50"/>
      <c r="F155" s="50"/>
      <c r="G155" s="50"/>
      <c r="H155" s="50"/>
      <c r="I155" s="50"/>
      <c r="J155" s="50"/>
      <c r="K155" s="50"/>
    </row>
    <row r="156" spans="1:11">
      <c r="A156" s="50"/>
      <c r="B156" s="50"/>
      <c r="C156" s="50"/>
      <c r="D156" s="50"/>
      <c r="E156" s="50"/>
      <c r="F156" s="50"/>
      <c r="G156" s="50"/>
      <c r="H156" s="50"/>
      <c r="I156" s="50"/>
      <c r="J156" s="50"/>
      <c r="K156" s="50"/>
    </row>
    <row r="157" spans="1:11">
      <c r="A157" s="50"/>
      <c r="B157" s="50"/>
      <c r="C157" s="50"/>
      <c r="D157" s="50"/>
      <c r="E157" s="50"/>
      <c r="F157" s="50"/>
      <c r="G157" s="50"/>
      <c r="H157" s="50"/>
      <c r="I157" s="50"/>
      <c r="J157" s="50"/>
      <c r="K157" s="50"/>
    </row>
    <row r="158" spans="1:11">
      <c r="A158" s="50"/>
      <c r="B158" s="50"/>
      <c r="C158" s="50"/>
      <c r="D158" s="50"/>
      <c r="E158" s="50"/>
      <c r="F158" s="50"/>
      <c r="G158" s="50"/>
      <c r="H158" s="50"/>
      <c r="I158" s="50"/>
      <c r="J158" s="50"/>
      <c r="K158" s="50"/>
    </row>
    <row r="159" spans="1:11">
      <c r="A159" s="50"/>
      <c r="B159" s="50"/>
      <c r="C159" s="50"/>
      <c r="D159" s="50"/>
      <c r="E159" s="50"/>
      <c r="F159" s="50"/>
      <c r="G159" s="50"/>
      <c r="H159" s="50"/>
      <c r="I159" s="50"/>
      <c r="J159" s="50"/>
      <c r="K159" s="50"/>
    </row>
    <row r="160" spans="1:11">
      <c r="A160" s="50"/>
      <c r="B160" s="50"/>
      <c r="C160" s="50"/>
      <c r="D160" s="50"/>
      <c r="E160" s="50"/>
      <c r="F160" s="50"/>
      <c r="G160" s="50"/>
      <c r="H160" s="50"/>
      <c r="I160" s="50"/>
      <c r="J160" s="50"/>
      <c r="K160" s="50"/>
    </row>
    <row r="161" spans="1:11">
      <c r="A161" s="50"/>
      <c r="B161" s="50"/>
      <c r="C161" s="50"/>
      <c r="D161" s="50"/>
      <c r="E161" s="50"/>
      <c r="F161" s="50"/>
      <c r="G161" s="50"/>
      <c r="H161" s="50"/>
      <c r="I161" s="50"/>
      <c r="J161" s="50"/>
      <c r="K161" s="50"/>
    </row>
    <row r="162" spans="1:11">
      <c r="A162" s="50"/>
      <c r="B162" s="50"/>
      <c r="C162" s="50"/>
      <c r="D162" s="50"/>
      <c r="E162" s="50"/>
      <c r="F162" s="50"/>
      <c r="G162" s="50"/>
      <c r="H162" s="50"/>
      <c r="I162" s="50"/>
      <c r="J162" s="50"/>
      <c r="K162" s="50"/>
    </row>
    <row r="163" spans="1:11">
      <c r="A163" s="50"/>
      <c r="B163" s="50"/>
      <c r="C163" s="50"/>
      <c r="D163" s="50"/>
      <c r="E163" s="50"/>
      <c r="F163" s="50"/>
      <c r="G163" s="50"/>
      <c r="H163" s="50"/>
      <c r="I163" s="50"/>
      <c r="J163" s="50"/>
      <c r="K163" s="50"/>
    </row>
    <row r="164" spans="1:11">
      <c r="A164" s="50"/>
      <c r="B164" s="50"/>
      <c r="C164" s="50"/>
      <c r="D164" s="50"/>
      <c r="E164" s="50"/>
      <c r="F164" s="50"/>
      <c r="G164" s="50"/>
      <c r="H164" s="50"/>
      <c r="I164" s="50"/>
      <c r="J164" s="50"/>
      <c r="K164" s="50"/>
    </row>
    <row r="165" spans="1:11">
      <c r="A165" s="50"/>
      <c r="B165" s="50"/>
      <c r="C165" s="50"/>
      <c r="D165" s="50"/>
      <c r="E165" s="50"/>
      <c r="F165" s="50"/>
      <c r="G165" s="50"/>
      <c r="H165" s="50"/>
      <c r="I165" s="50"/>
      <c r="J165" s="50"/>
      <c r="K165" s="50"/>
    </row>
    <row r="166" spans="1:11">
      <c r="A166" s="50"/>
      <c r="B166" s="50"/>
      <c r="C166" s="50"/>
      <c r="D166" s="50"/>
      <c r="E166" s="50"/>
      <c r="F166" s="50"/>
      <c r="G166" s="50"/>
      <c r="H166" s="50"/>
      <c r="I166" s="50"/>
      <c r="J166" s="50"/>
      <c r="K166" s="50"/>
    </row>
    <row r="167" spans="1:11">
      <c r="A167" s="50"/>
      <c r="B167" s="50"/>
      <c r="C167" s="50"/>
      <c r="D167" s="50"/>
      <c r="E167" s="50"/>
      <c r="F167" s="50"/>
      <c r="G167" s="50"/>
      <c r="H167" s="50"/>
      <c r="I167" s="50"/>
      <c r="J167" s="50"/>
      <c r="K167" s="50"/>
    </row>
    <row r="168" spans="1:11">
      <c r="A168" s="50"/>
      <c r="B168" s="50"/>
      <c r="C168" s="50"/>
      <c r="D168" s="50"/>
      <c r="E168" s="50"/>
      <c r="F168" s="50"/>
      <c r="G168" s="50"/>
      <c r="H168" s="50"/>
      <c r="I168" s="50"/>
      <c r="J168" s="50"/>
      <c r="K168" s="50"/>
    </row>
    <row r="169" spans="1:11">
      <c r="A169" s="50"/>
      <c r="B169" s="50"/>
      <c r="C169" s="50"/>
      <c r="D169" s="50"/>
      <c r="E169" s="50"/>
      <c r="F169" s="50"/>
      <c r="G169" s="50"/>
      <c r="H169" s="50"/>
      <c r="I169" s="50"/>
      <c r="J169" s="50"/>
      <c r="K169" s="50"/>
    </row>
    <row r="170" spans="1:11">
      <c r="A170" s="50"/>
      <c r="B170" s="50"/>
      <c r="C170" s="50"/>
      <c r="D170" s="50"/>
      <c r="E170" s="50"/>
      <c r="F170" s="50"/>
      <c r="G170" s="50"/>
      <c r="H170" s="50"/>
      <c r="I170" s="50"/>
      <c r="J170" s="50"/>
      <c r="K170" s="50"/>
    </row>
    <row r="171" spans="1:11">
      <c r="A171" s="50"/>
      <c r="B171" s="50"/>
      <c r="C171" s="50"/>
      <c r="D171" s="50"/>
      <c r="E171" s="50"/>
      <c r="F171" s="50"/>
      <c r="G171" s="50"/>
      <c r="H171" s="50"/>
      <c r="I171" s="50"/>
      <c r="J171" s="50"/>
      <c r="K171" s="50"/>
    </row>
    <row r="172" spans="1:11">
      <c r="A172" s="50"/>
      <c r="B172" s="50"/>
      <c r="C172" s="50"/>
      <c r="D172" s="50"/>
      <c r="E172" s="50"/>
      <c r="F172" s="50"/>
      <c r="G172" s="50"/>
      <c r="H172" s="50"/>
      <c r="I172" s="50"/>
      <c r="J172" s="50"/>
      <c r="K172" s="50"/>
    </row>
    <row r="173" spans="1:11">
      <c r="A173" s="50"/>
      <c r="B173" s="50"/>
      <c r="C173" s="50"/>
      <c r="D173" s="50"/>
      <c r="E173" s="50"/>
      <c r="F173" s="50"/>
      <c r="G173" s="50"/>
      <c r="H173" s="50"/>
      <c r="I173" s="50"/>
      <c r="J173" s="50"/>
      <c r="K173" s="50"/>
    </row>
    <row r="174" spans="1:11">
      <c r="A174" s="50"/>
      <c r="B174" s="50"/>
      <c r="C174" s="50"/>
      <c r="D174" s="50"/>
      <c r="E174" s="50"/>
      <c r="F174" s="50"/>
      <c r="G174" s="50"/>
      <c r="H174" s="50"/>
      <c r="I174" s="50"/>
      <c r="J174" s="50"/>
      <c r="K174" s="50"/>
    </row>
    <row r="175" spans="1:11">
      <c r="A175" s="50"/>
      <c r="B175" s="50"/>
      <c r="C175" s="50"/>
      <c r="D175" s="50"/>
      <c r="E175" s="50"/>
      <c r="F175" s="50"/>
      <c r="G175" s="50"/>
      <c r="H175" s="50"/>
      <c r="I175" s="50"/>
      <c r="J175" s="50"/>
      <c r="K175" s="50"/>
    </row>
    <row r="176" spans="1:11">
      <c r="A176" s="50"/>
      <c r="B176" s="50"/>
      <c r="C176" s="50"/>
      <c r="D176" s="50"/>
      <c r="E176" s="50"/>
      <c r="F176" s="50"/>
      <c r="G176" s="50"/>
      <c r="H176" s="50"/>
      <c r="I176" s="50"/>
      <c r="J176" s="50"/>
      <c r="K176" s="50"/>
    </row>
    <row r="177" spans="1:11">
      <c r="A177" s="50"/>
      <c r="B177" s="50"/>
      <c r="C177" s="50"/>
      <c r="D177" s="50"/>
      <c r="E177" s="50"/>
      <c r="F177" s="50"/>
      <c r="G177" s="50"/>
      <c r="H177" s="50"/>
      <c r="I177" s="50"/>
      <c r="J177" s="50"/>
      <c r="K177" s="50"/>
    </row>
    <row r="178" spans="1:11">
      <c r="A178" s="50"/>
      <c r="B178" s="50"/>
      <c r="C178" s="50"/>
      <c r="D178" s="50"/>
      <c r="E178" s="50"/>
      <c r="F178" s="50"/>
      <c r="G178" s="50"/>
      <c r="H178" s="50"/>
      <c r="I178" s="50"/>
      <c r="J178" s="50"/>
      <c r="K178" s="50"/>
    </row>
    <row r="179" spans="1:11">
      <c r="A179" s="50"/>
      <c r="B179" s="50"/>
      <c r="C179" s="50"/>
      <c r="D179" s="50"/>
      <c r="E179" s="50"/>
      <c r="F179" s="50"/>
      <c r="G179" s="50"/>
      <c r="H179" s="50"/>
      <c r="I179" s="50"/>
      <c r="J179" s="50"/>
      <c r="K179" s="50"/>
    </row>
    <row r="180" spans="1:11">
      <c r="A180" s="50"/>
      <c r="B180" s="50"/>
      <c r="C180" s="50"/>
      <c r="D180" s="50"/>
      <c r="E180" s="50"/>
      <c r="F180" s="50"/>
      <c r="G180" s="50"/>
      <c r="H180" s="50"/>
      <c r="I180" s="50"/>
      <c r="J180" s="50"/>
      <c r="K180" s="50"/>
    </row>
    <row r="181" spans="1:11">
      <c r="A181" s="50"/>
      <c r="B181" s="50"/>
      <c r="C181" s="50"/>
      <c r="D181" s="50"/>
      <c r="E181" s="50"/>
      <c r="F181" s="50"/>
      <c r="G181" s="50"/>
      <c r="H181" s="50"/>
      <c r="I181" s="50"/>
      <c r="J181" s="50"/>
      <c r="K181" s="50"/>
    </row>
    <row r="182" spans="1:11">
      <c r="A182" s="50"/>
      <c r="B182" s="50"/>
      <c r="C182" s="50"/>
      <c r="D182" s="50"/>
      <c r="E182" s="50"/>
      <c r="F182" s="50"/>
      <c r="G182" s="50"/>
      <c r="H182" s="50"/>
      <c r="I182" s="50"/>
      <c r="J182" s="50"/>
      <c r="K182" s="50"/>
    </row>
    <row r="183" spans="1:11">
      <c r="A183" s="50"/>
      <c r="B183" s="50"/>
      <c r="C183" s="50"/>
      <c r="D183" s="50"/>
      <c r="E183" s="50"/>
      <c r="F183" s="50"/>
      <c r="G183" s="50"/>
      <c r="H183" s="50"/>
      <c r="I183" s="50"/>
      <c r="J183" s="50"/>
      <c r="K183" s="50"/>
    </row>
    <row r="184" spans="1:11">
      <c r="A184" s="50"/>
      <c r="B184" s="50"/>
      <c r="C184" s="50"/>
      <c r="D184" s="50"/>
      <c r="E184" s="50"/>
      <c r="F184" s="50"/>
      <c r="G184" s="50"/>
      <c r="H184" s="50"/>
      <c r="I184" s="50"/>
      <c r="J184" s="50"/>
      <c r="K184" s="50"/>
    </row>
    <row r="185" spans="1:11">
      <c r="A185" s="50"/>
      <c r="B185" s="50"/>
      <c r="C185" s="50"/>
      <c r="D185" s="50"/>
      <c r="E185" s="50"/>
      <c r="F185" s="50"/>
      <c r="G185" s="50"/>
      <c r="H185" s="50"/>
      <c r="I185" s="50"/>
      <c r="J185" s="50"/>
      <c r="K185" s="50"/>
    </row>
    <row r="186" spans="1:11">
      <c r="A186" s="50"/>
      <c r="B186" s="50"/>
      <c r="C186" s="50"/>
      <c r="D186" s="50"/>
      <c r="E186" s="50"/>
      <c r="F186" s="50"/>
      <c r="G186" s="50"/>
      <c r="H186" s="50"/>
      <c r="I186" s="50"/>
      <c r="J186" s="50"/>
      <c r="K186" s="50"/>
    </row>
    <row r="187" spans="1:11">
      <c r="A187" s="50"/>
      <c r="B187" s="50"/>
      <c r="C187" s="50"/>
      <c r="D187" s="50"/>
      <c r="E187" s="50"/>
      <c r="F187" s="50"/>
      <c r="G187" s="50"/>
      <c r="H187" s="50"/>
      <c r="I187" s="50"/>
      <c r="J187" s="50"/>
      <c r="K187" s="50"/>
    </row>
    <row r="188" spans="1:11">
      <c r="A188" s="50"/>
      <c r="B188" s="50"/>
      <c r="C188" s="50"/>
      <c r="D188" s="50"/>
      <c r="E188" s="50"/>
      <c r="F188" s="50"/>
      <c r="G188" s="50"/>
      <c r="H188" s="50"/>
      <c r="I188" s="50"/>
      <c r="J188" s="50"/>
      <c r="K188" s="50"/>
    </row>
    <row r="189" spans="1:11">
      <c r="A189" s="50"/>
      <c r="B189" s="50"/>
      <c r="C189" s="50"/>
      <c r="D189" s="50"/>
      <c r="E189" s="50"/>
      <c r="F189" s="50"/>
      <c r="G189" s="50"/>
      <c r="H189" s="50"/>
      <c r="I189" s="50"/>
      <c r="J189" s="50"/>
      <c r="K189" s="50"/>
    </row>
    <row r="190" spans="1:11">
      <c r="A190" s="50"/>
      <c r="B190" s="50"/>
      <c r="C190" s="50"/>
      <c r="D190" s="50"/>
      <c r="E190" s="50"/>
      <c r="F190" s="50"/>
      <c r="G190" s="50"/>
      <c r="H190" s="50"/>
      <c r="I190" s="50"/>
      <c r="J190" s="50"/>
      <c r="K190" s="50"/>
    </row>
    <row r="191" spans="1:11">
      <c r="A191" s="50"/>
      <c r="B191" s="50"/>
      <c r="C191" s="50"/>
      <c r="D191" s="50"/>
      <c r="E191" s="50"/>
      <c r="F191" s="50"/>
      <c r="G191" s="50"/>
      <c r="H191" s="50"/>
      <c r="I191" s="50"/>
      <c r="J191" s="50"/>
      <c r="K191" s="50"/>
    </row>
    <row r="192" spans="1:11">
      <c r="A192" s="50"/>
      <c r="B192" s="50"/>
      <c r="C192" s="50"/>
      <c r="D192" s="50"/>
      <c r="E192" s="50"/>
      <c r="F192" s="50"/>
      <c r="G192" s="50"/>
      <c r="H192" s="50"/>
      <c r="I192" s="50"/>
      <c r="J192" s="50"/>
      <c r="K192" s="50"/>
    </row>
  </sheetData>
  <sheetProtection algorithmName="SHA-512" hashValue="093CJ9szeT5kyitYHDPnWeD+1Fhh7K8LeJ+QIWyxJ+bE6+GfDQB2TRvydjVL8CqEHEnsZWroRw30jOJQnIObzg==" saltValue="h//kqBvwgRlJy73AcsOFdA==" spinCount="100000" sheet="1" objects="1" scenarios="1"/>
  <mergeCells count="10">
    <mergeCell ref="A32:K32"/>
    <mergeCell ref="C25:F25"/>
    <mergeCell ref="C27:F27"/>
    <mergeCell ref="A10:K10"/>
    <mergeCell ref="C23:F23"/>
    <mergeCell ref="H7:K7"/>
    <mergeCell ref="B1:G1"/>
    <mergeCell ref="B2:G2"/>
    <mergeCell ref="B3:G3"/>
    <mergeCell ref="A12:A15"/>
  </mergeCells>
  <conditionalFormatting sqref="I34:I38">
    <cfRule type="containsText" dxfId="16" priority="3" operator="containsText" text="WEITER">
      <formula>NOT(ISERROR(SEARCH("WEITER",I34)))</formula>
    </cfRule>
  </conditionalFormatting>
  <conditionalFormatting sqref="E17:F17 E19:F19 E21:F21">
    <cfRule type="expression" dxfId="15" priority="4">
      <formula>#REF!=1</formula>
    </cfRule>
  </conditionalFormatting>
  <conditionalFormatting sqref="H12:J13 I14:K15">
    <cfRule type="expression" dxfId="14" priority="5">
      <formula>#REF!=1</formula>
    </cfRule>
  </conditionalFormatting>
  <dataValidations count="1">
    <dataValidation type="textLength" allowBlank="1" showInputMessage="1" showErrorMessage="1" error="Bitte verwenden Sie nicht mehr als 199 Zeichen / S.v.p. utilisez 199 caractères au maximum" sqref="A17 A19 A21">
      <formula1>0</formula1>
      <formula2>199</formula2>
    </dataValidation>
  </dataValidations>
  <hyperlinks>
    <hyperlink ref="H34" location="'42uEX'!A1" display="'42uEX'!A1"/>
    <hyperlink ref="H36" location="'43uCH'!A1" display="'43uCH'!A1"/>
    <hyperlink ref="H38" location="'5'!A1" display="'5'!A1"/>
    <hyperlink ref="C34" location="'40'!A1" display="'40'!A1"/>
  </hyperlinks>
  <pageMargins left="0.74803149606299213" right="0.74803149606299213" top="0.39370078740157483" bottom="0.19685039370078741" header="0.51181102362204722" footer="0.51181102362204722"/>
  <pageSetup paperSize="9" scale="87"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CD38D431-C88C-2C4F-A8D2-8BA2D1AF86C1}">
            <xm:f>txt!$B$222</xm:f>
            <x14:dxf>
              <font>
                <u/>
                <color rgb="FF0000FF"/>
              </font>
              <fill>
                <patternFill patternType="solid">
                  <fgColor indexed="64"/>
                  <bgColor rgb="FFFFFF00"/>
                </patternFill>
              </fill>
            </x14:dxf>
          </x14:cfRule>
          <xm:sqref>H34:H38</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FF00"/>
    <pageSetUpPr fitToPage="1"/>
  </sheetPr>
  <dimension ref="A1:K49"/>
  <sheetViews>
    <sheetView workbookViewId="0">
      <selection activeCell="D11" sqref="D11"/>
    </sheetView>
  </sheetViews>
  <sheetFormatPr baseColWidth="10" defaultColWidth="10.6640625" defaultRowHeight="13.5"/>
  <cols>
    <col min="1" max="1" width="50.6640625" style="23" customWidth="1"/>
    <col min="2" max="2" width="2.6640625" style="23" customWidth="1"/>
    <col min="3" max="3" width="8.6640625" style="23" customWidth="1"/>
    <col min="4" max="4" width="24.6640625" style="23" customWidth="1"/>
    <col min="5" max="5" width="2.6640625" style="23" customWidth="1"/>
    <col min="6" max="6" width="32.6640625" style="23" customWidth="1"/>
    <col min="7" max="7" width="6" style="23" bestFit="1" customWidth="1"/>
    <col min="8" max="8" width="8.109375" style="23" bestFit="1" customWidth="1"/>
    <col min="9" max="9" width="7.33203125" style="23" bestFit="1" customWidth="1"/>
    <col min="10" max="10" width="7.88671875" style="23" bestFit="1" customWidth="1"/>
    <col min="11" max="16384" width="10.6640625" style="23"/>
  </cols>
  <sheetData>
    <row r="1" spans="1:11" ht="15" customHeight="1">
      <c r="A1" s="50"/>
      <c r="B1" s="336" t="str">
        <f>txt!$B$42</f>
        <v>Preiserhebung</v>
      </c>
      <c r="C1" s="336"/>
      <c r="D1" s="336"/>
      <c r="E1" s="336"/>
      <c r="F1" s="51" t="str">
        <f>txt!$B$175</f>
        <v>Eidg. Departement des Innern</v>
      </c>
    </row>
    <row r="2" spans="1:11" ht="15" customHeight="1">
      <c r="A2" s="50"/>
      <c r="B2" s="336" t="str">
        <f>txt!$B$43</f>
        <v>Produzentenpreisindex</v>
      </c>
      <c r="C2" s="336"/>
      <c r="D2" s="336"/>
      <c r="E2" s="336"/>
      <c r="F2" s="51" t="str">
        <f>txt!$B$176</f>
        <v>Bundesamt für Statistik BFS</v>
      </c>
    </row>
    <row r="3" spans="1:11" ht="15" customHeight="1">
      <c r="A3" s="50"/>
      <c r="B3" s="337" t="str">
        <f>txt!$B$44</f>
        <v>Informatikdienstleistungen</v>
      </c>
      <c r="C3" s="337"/>
      <c r="D3" s="337"/>
      <c r="E3" s="337"/>
      <c r="F3" s="52" t="str">
        <f>txt!$B$177</f>
        <v>Abt. Wirtschaft, Sektion PREIS</v>
      </c>
    </row>
    <row r="4" spans="1:11" ht="13.5" customHeight="1">
      <c r="A4" s="50"/>
      <c r="B4" s="50"/>
      <c r="C4" s="50"/>
      <c r="D4" s="50"/>
      <c r="E4" s="50"/>
      <c r="F4" s="50"/>
    </row>
    <row r="5" spans="1:11" s="19" customFormat="1" ht="13.5" customHeight="1">
      <c r="A5" s="63" t="str">
        <f>txt!B46</f>
        <v>PMS-Nr. 0</v>
      </c>
      <c r="B5" s="63"/>
      <c r="C5" s="63"/>
      <c r="D5" s="63"/>
      <c r="E5" s="63"/>
      <c r="F5" s="64" t="str">
        <f>txt!B45</f>
        <v/>
      </c>
      <c r="G5" s="20"/>
      <c r="H5" s="20"/>
      <c r="I5" s="20"/>
      <c r="J5" s="21"/>
      <c r="K5" s="20"/>
    </row>
    <row r="6" spans="1:11" ht="13.5" customHeight="1">
      <c r="A6" s="50"/>
      <c r="B6" s="50"/>
      <c r="C6" s="50"/>
      <c r="D6" s="50"/>
      <c r="E6" s="50"/>
      <c r="F6" s="50"/>
    </row>
    <row r="7" spans="1:11" ht="13.5" customHeight="1">
      <c r="A7" s="50"/>
      <c r="B7" s="50"/>
      <c r="C7" s="50"/>
      <c r="D7" s="50"/>
      <c r="E7" s="50"/>
      <c r="F7" s="50"/>
    </row>
    <row r="8" spans="1:11" ht="13.5" customHeight="1">
      <c r="A8" s="50"/>
      <c r="B8" s="50"/>
      <c r="C8" s="50"/>
      <c r="D8" s="50"/>
      <c r="E8" s="50"/>
      <c r="F8" s="65" t="str">
        <f>IF($D$11="",txt!B226,IF(SUM($D$16:$D$24)=1,"",txt!B230))</f>
        <v>Bitte geben Sie Ihren Umsatz an</v>
      </c>
    </row>
    <row r="9" spans="1:11" ht="13.5" customHeight="1">
      <c r="A9" s="50"/>
      <c r="B9" s="50"/>
      <c r="C9" s="50"/>
      <c r="D9" s="50"/>
      <c r="E9" s="50"/>
      <c r="F9" s="50"/>
    </row>
    <row r="10" spans="1:11" ht="13.5" customHeight="1">
      <c r="A10" s="335" t="str">
        <f>txt!B116</f>
        <v>Wie hoch war der Umsatz des Unternehmens im Jahr 2021 (in CHF, exkl. MWST)?</v>
      </c>
      <c r="B10" s="335"/>
      <c r="C10" s="335"/>
      <c r="D10" s="335"/>
      <c r="E10" s="335"/>
      <c r="F10" s="335"/>
    </row>
    <row r="11" spans="1:11" ht="13.5" customHeight="1">
      <c r="A11" s="338" t="str">
        <f>txt!B117</f>
        <v>Bitte geben Sie nur den Umsatz der Dienstleistungen an, bei denen ein substanzieller Anteil der Wertschöpfung in der Schweiz erfolgte</v>
      </c>
      <c r="B11" s="66"/>
      <c r="C11" s="50"/>
      <c r="D11" s="272"/>
      <c r="E11" s="50"/>
      <c r="F11" s="50"/>
    </row>
    <row r="12" spans="1:11" ht="13.5" customHeight="1">
      <c r="A12" s="338"/>
      <c r="B12" s="66"/>
      <c r="C12" s="50"/>
      <c r="D12" s="50"/>
      <c r="E12" s="50"/>
      <c r="F12" s="50"/>
    </row>
    <row r="13" spans="1:11" ht="13.5" customHeight="1">
      <c r="A13" s="67"/>
      <c r="B13" s="67"/>
      <c r="C13" s="68"/>
      <c r="D13" s="50"/>
      <c r="E13" s="50"/>
      <c r="F13" s="50"/>
    </row>
    <row r="14" spans="1:11" ht="13.5" customHeight="1">
      <c r="A14" s="68"/>
      <c r="B14" s="68"/>
      <c r="C14" s="68"/>
      <c r="D14" s="50"/>
      <c r="E14" s="50"/>
      <c r="F14" s="50"/>
    </row>
    <row r="15" spans="1:11" s="24" customFormat="1" ht="27" customHeight="1">
      <c r="A15" s="69" t="str">
        <f>txt!B47</f>
        <v>Geschäftsfeld</v>
      </c>
      <c r="B15" s="69"/>
      <c r="C15" s="57"/>
      <c r="D15" s="59" t="str">
        <f>txt!B118</f>
        <v>Umsatzanteil</v>
      </c>
      <c r="E15" s="50"/>
      <c r="F15" s="50"/>
      <c r="G15" s="23"/>
      <c r="H15" s="23"/>
      <c r="I15" s="23"/>
      <c r="J15" s="23"/>
      <c r="K15" s="23"/>
    </row>
    <row r="16" spans="1:11" ht="13.5" customHeight="1">
      <c r="A16" s="60" t="str">
        <f>txt!B49</f>
        <v>Programmierungstätigkeiten</v>
      </c>
      <c r="B16" s="60"/>
      <c r="C16" s="50"/>
      <c r="D16" s="266"/>
      <c r="E16" s="50"/>
      <c r="F16" s="50"/>
    </row>
    <row r="17" spans="1:11" ht="7.5" customHeight="1">
      <c r="A17" s="60"/>
      <c r="B17" s="60"/>
      <c r="C17" s="50"/>
      <c r="D17" s="61"/>
      <c r="E17" s="50"/>
      <c r="F17" s="50"/>
    </row>
    <row r="18" spans="1:11" ht="13.5" customHeight="1">
      <c r="A18" s="60" t="str">
        <f>txt!B50</f>
        <v>IT-Beratungsdienstleistungen</v>
      </c>
      <c r="B18" s="60"/>
      <c r="C18" s="50"/>
      <c r="D18" s="266"/>
      <c r="E18" s="50"/>
      <c r="F18" s="50"/>
    </row>
    <row r="19" spans="1:11" ht="7.5" customHeight="1">
      <c r="A19" s="60"/>
      <c r="B19" s="60"/>
      <c r="C19" s="50"/>
      <c r="D19" s="61"/>
      <c r="E19" s="50"/>
      <c r="F19" s="50"/>
    </row>
    <row r="20" spans="1:11" ht="13.5" customHeight="1">
      <c r="A20" s="60" t="str">
        <f>txt!B51</f>
        <v>Betrieb-, Support-, Installations- und Wartungsleistungen</v>
      </c>
      <c r="B20" s="60"/>
      <c r="C20" s="50"/>
      <c r="D20" s="266"/>
      <c r="E20" s="50"/>
      <c r="F20" s="50"/>
    </row>
    <row r="21" spans="1:11" ht="7.5" customHeight="1">
      <c r="A21" s="60"/>
      <c r="B21" s="60"/>
      <c r="C21" s="50"/>
      <c r="D21" s="61"/>
      <c r="E21" s="50"/>
      <c r="F21" s="50"/>
    </row>
    <row r="22" spans="1:11" ht="13.5" customHeight="1">
      <c r="A22" s="60" t="str">
        <f>txt!B52</f>
        <v>IT-Infrastrukturdienste</v>
      </c>
      <c r="B22" s="60"/>
      <c r="C22" s="50"/>
      <c r="D22" s="266"/>
      <c r="E22" s="50"/>
      <c r="F22" s="50"/>
    </row>
    <row r="23" spans="1:11" ht="7.5" customHeight="1">
      <c r="A23" s="60"/>
      <c r="B23" s="60"/>
      <c r="C23" s="50"/>
      <c r="D23" s="61"/>
      <c r="E23" s="50"/>
      <c r="F23" s="50"/>
    </row>
    <row r="24" spans="1:11" ht="13.5" customHeight="1">
      <c r="A24" s="60" t="str">
        <f>txt!B53</f>
        <v>Geschäftsfelder ausserhalb der IT-Dienstleistungen</v>
      </c>
      <c r="B24" s="60"/>
      <c r="C24" s="50"/>
      <c r="D24" s="266"/>
      <c r="E24" s="50"/>
      <c r="F24" s="50"/>
    </row>
    <row r="25" spans="1:11" s="24" customFormat="1" ht="13.5" customHeight="1">
      <c r="A25" s="69"/>
      <c r="B25" s="69"/>
      <c r="C25" s="57"/>
      <c r="D25" s="70" t="str">
        <f>SUM(D16:D24)*100&amp;txt!B224</f>
        <v>0% von 100% zugeteilt</v>
      </c>
      <c r="E25" s="50"/>
      <c r="F25" s="50"/>
      <c r="G25" s="23"/>
      <c r="H25" s="23"/>
      <c r="I25" s="23"/>
      <c r="J25" s="23"/>
      <c r="K25" s="23"/>
    </row>
    <row r="26" spans="1:11" s="24" customFormat="1" ht="13.5" customHeight="1">
      <c r="A26" s="69"/>
      <c r="B26" s="69"/>
      <c r="C26" s="71"/>
      <c r="D26" s="56"/>
      <c r="E26" s="56"/>
      <c r="F26" s="56"/>
      <c r="G26" s="22"/>
      <c r="H26" s="22"/>
      <c r="I26" s="22"/>
      <c r="J26" s="22"/>
    </row>
    <row r="27" spans="1:11" s="24" customFormat="1" ht="13.5" customHeight="1">
      <c r="A27" s="72" t="str">
        <f>txt!B218&amp;":"</f>
        <v>Definitionen:</v>
      </c>
      <c r="B27" s="69"/>
      <c r="C27" s="339" t="str">
        <f>txt!B219&amp;":"</f>
        <v>Anmerkung:</v>
      </c>
      <c r="D27" s="339"/>
      <c r="E27" s="56"/>
      <c r="F27" s="56"/>
      <c r="G27" s="22"/>
      <c r="H27" s="22"/>
      <c r="I27" s="22"/>
      <c r="J27" s="22"/>
    </row>
    <row r="28" spans="1:11" s="24" customFormat="1" ht="67.5" customHeight="1">
      <c r="A28" s="73" t="str">
        <f>txt!B66</f>
        <v>Das Geschäftsfeld "Programmierungstätigkeit" umfasst das Entwerfen der Struktur und des Inhalts zur Herstellung von Systemsoftware, Softwareanwendungen, Datenbanken und Web-Seiten. In diesem Geschäftsfeld werden die Dienstleistungstypen "Software nach Kundenwunsch" und "Standardsoftware" unterschieden.</v>
      </c>
      <c r="B28" s="57"/>
      <c r="C28" s="334" t="str">
        <f>txt!B70</f>
        <v>Sollten Sie Komplettpakete (bspw. Beratungsdienstleistungen inkl. Programmierungstätigkeiten) anbieten, sind die Tätigkeiten entsprechend ihren Umsatzanteilen auf die Geschäftsfelder aufzuteilen.</v>
      </c>
      <c r="D28" s="334"/>
      <c r="E28" s="56"/>
      <c r="F28" s="56"/>
      <c r="G28" s="22"/>
      <c r="H28" s="22"/>
      <c r="I28" s="22"/>
      <c r="J28" s="22"/>
    </row>
    <row r="29" spans="1:11" s="24" customFormat="1" ht="7.5" customHeight="1">
      <c r="A29" s="74"/>
      <c r="B29" s="57"/>
      <c r="C29" s="75"/>
      <c r="D29" s="75"/>
      <c r="E29" s="56"/>
      <c r="F29" s="56"/>
      <c r="G29" s="22"/>
      <c r="H29" s="22"/>
      <c r="I29" s="22"/>
      <c r="J29" s="22"/>
    </row>
    <row r="30" spans="1:11" s="24" customFormat="1" ht="67.5" customHeight="1">
      <c r="A30" s="73" t="str">
        <f>txt!B67</f>
        <v>Das Geschäftfeld "Beratungdienstleistungen" umfasst die Planung und den Entwurf von Computersysteme und differenziert zwischen den Dienstleistungstypen "Beratung zu Hard- und Softwarebeschaffung", "Expertise zur Systemintegration" und "Schulung &amp; Training".</v>
      </c>
      <c r="B30" s="76"/>
      <c r="C30" s="77"/>
      <c r="D30" s="56"/>
      <c r="E30" s="56"/>
      <c r="F30" s="56"/>
      <c r="G30" s="22"/>
      <c r="H30" s="22"/>
      <c r="I30" s="22"/>
      <c r="J30" s="22"/>
    </row>
    <row r="31" spans="1:11" s="24" customFormat="1" ht="7.5" customHeight="1">
      <c r="A31" s="74"/>
      <c r="B31" s="76"/>
      <c r="C31" s="77"/>
      <c r="D31" s="56"/>
      <c r="E31" s="56"/>
      <c r="F31" s="56"/>
      <c r="G31" s="22"/>
      <c r="H31" s="22"/>
      <c r="I31" s="22"/>
      <c r="J31" s="22"/>
    </row>
    <row r="32" spans="1:11" ht="67.5" customHeight="1">
      <c r="A32" s="73" t="str">
        <f>txt!B68</f>
        <v>Das Geschäftsfeld "Betrieb-, Support-, Installations- und Wartungsleistungen" umfasst den Betrieb, den Support und die Wartung von Computeranlagen für Dritte, sowie die Installation von Software. Es beinhaltet die Dienstleistungstypen: "Betrieb, Support und Wartung" und "Installation".</v>
      </c>
      <c r="B32" s="50"/>
      <c r="C32" s="50"/>
      <c r="D32" s="50"/>
      <c r="E32" s="50"/>
      <c r="F32" s="50"/>
    </row>
    <row r="33" spans="1:6" ht="7.5" customHeight="1">
      <c r="A33" s="74"/>
      <c r="B33" s="50"/>
      <c r="C33" s="50"/>
      <c r="D33" s="50"/>
      <c r="E33" s="50"/>
      <c r="F33" s="50"/>
    </row>
    <row r="34" spans="1:6" ht="67.5" customHeight="1">
      <c r="A34" s="73" t="str">
        <f>txt!B69</f>
        <v>Das Geschäftsfeld "IT-Infrastrukturdienste" umfasst die Bereitstellung von Infrastrukturen für Hosting und Datenverarbeitungsdienste. Teil dieses Geschäftsfeldes sind die Dienstleistungstypen "Infrastructure as a Service (IaaS)", " Platform as a Service (PaaS)" und "Software as a Service (SaaS)".</v>
      </c>
      <c r="B34" s="74"/>
      <c r="C34" s="74"/>
      <c r="D34" s="68"/>
      <c r="E34" s="56"/>
      <c r="F34" s="50"/>
    </row>
    <row r="35" spans="1:6">
      <c r="A35" s="50"/>
      <c r="B35" s="50"/>
      <c r="C35" s="50"/>
      <c r="D35" s="50"/>
      <c r="E35" s="50"/>
      <c r="F35" s="50"/>
    </row>
    <row r="36" spans="1:6">
      <c r="A36" s="78">
        <f>Steuerung!A2</f>
        <v>0</v>
      </c>
      <c r="B36" s="50"/>
      <c r="C36" s="268" t="str">
        <f>txt!B221</f>
        <v>ZURÜCK</v>
      </c>
      <c r="D36" s="50"/>
      <c r="E36" s="50"/>
      <c r="F36" s="269" t="str">
        <f>IF($D$11="","",IF(SUM($D$16:$D$24)=1,IF(A36=1,txt!B222,""),""))</f>
        <v/>
      </c>
    </row>
    <row r="37" spans="1:6">
      <c r="A37" s="78"/>
      <c r="B37" s="50"/>
      <c r="C37" s="62"/>
      <c r="D37" s="50"/>
      <c r="E37" s="50"/>
      <c r="F37" s="62"/>
    </row>
    <row r="38" spans="1:6">
      <c r="A38" s="78">
        <f>Steuerung!A12</f>
        <v>0</v>
      </c>
      <c r="B38" s="50"/>
      <c r="C38" s="50"/>
      <c r="D38" s="50"/>
      <c r="E38" s="50"/>
      <c r="F38" s="269" t="str">
        <f>IF($D$11="","",IF(SUM($D$16:$D$24)=1,IF(AND(A36=0,A38=1),txt!B222,""),""))</f>
        <v/>
      </c>
    </row>
    <row r="39" spans="1:6">
      <c r="A39" s="78"/>
      <c r="B39" s="50"/>
      <c r="C39" s="50"/>
      <c r="D39" s="50"/>
      <c r="E39" s="50"/>
      <c r="F39" s="62"/>
    </row>
    <row r="40" spans="1:6">
      <c r="A40" s="78">
        <f>Steuerung!A27</f>
        <v>0</v>
      </c>
      <c r="B40" s="50"/>
      <c r="C40" s="50"/>
      <c r="D40" s="50"/>
      <c r="E40" s="50"/>
      <c r="F40" s="269" t="str">
        <f>IF($D$11="","",IF(SUM($D$16:$D$24)=1,IF(AND(A36=0,A38=0,A40=1),txt!B222,""),""))</f>
        <v/>
      </c>
    </row>
    <row r="41" spans="1:6">
      <c r="A41" s="78"/>
      <c r="B41" s="50"/>
      <c r="C41" s="50"/>
      <c r="D41" s="50"/>
      <c r="E41" s="50"/>
      <c r="F41" s="62"/>
    </row>
    <row r="42" spans="1:6">
      <c r="A42" s="78">
        <f>Steuerung!A38</f>
        <v>0</v>
      </c>
      <c r="B42" s="50"/>
      <c r="C42" s="50"/>
      <c r="D42" s="50"/>
      <c r="E42" s="50"/>
      <c r="F42" s="269" t="str">
        <f>IF($D$11="","",IF(SUM($D$16:$D$24)=1,IF(AND(A36=0,A38=0,A40=0,A42=1),txt!B222,""),""))</f>
        <v/>
      </c>
    </row>
    <row r="43" spans="1:6">
      <c r="A43" s="50"/>
      <c r="B43" s="50"/>
      <c r="C43" s="50"/>
      <c r="D43" s="50"/>
      <c r="E43" s="50"/>
      <c r="F43" s="50"/>
    </row>
    <row r="44" spans="1:6" ht="15">
      <c r="A44" s="78">
        <f>IF(D24=1,1,0)</f>
        <v>0</v>
      </c>
      <c r="B44" s="50"/>
      <c r="C44" s="50"/>
      <c r="D44" s="50"/>
      <c r="E44" s="50"/>
      <c r="F44" s="271" t="str">
        <f>IF($D$11="","",IF(SUM($D$16:$D$24)=1,IF(AND(A36=0,A38=0,A40=0,A42=0,A44=1),txt!B222,""),""))</f>
        <v/>
      </c>
    </row>
    <row r="45" spans="1:6">
      <c r="A45" s="50"/>
      <c r="B45" s="50"/>
      <c r="C45" s="50"/>
      <c r="D45" s="50"/>
      <c r="E45" s="50"/>
      <c r="F45" s="50"/>
    </row>
    <row r="46" spans="1:6" ht="14.25">
      <c r="C46" s="19"/>
      <c r="F46" s="19"/>
    </row>
    <row r="47" spans="1:6" ht="14.25">
      <c r="C47" s="19"/>
      <c r="F47" s="19"/>
    </row>
    <row r="48" spans="1:6" ht="14.25">
      <c r="F48" s="19"/>
    </row>
    <row r="49" spans="6:6" ht="14.25">
      <c r="F49" s="19"/>
    </row>
  </sheetData>
  <sheetProtection algorithmName="SHA-512" hashValue="CufFA9x/yLxnwvnUnOlg+U3mcUqCjoN/so/g56a++avZNSeGXBwlqZOmTTHdXTTG1u9mOpcU9kE9dM4T8P1POg==" saltValue="73pufDwkk2dCKDo5WsilOw==" spinCount="100000" sheet="1" objects="1" scenarios="1"/>
  <mergeCells count="7">
    <mergeCell ref="C28:D28"/>
    <mergeCell ref="A10:F10"/>
    <mergeCell ref="B1:E1"/>
    <mergeCell ref="B2:E2"/>
    <mergeCell ref="B3:E3"/>
    <mergeCell ref="A11:A12"/>
    <mergeCell ref="C27:D27"/>
  </mergeCells>
  <conditionalFormatting sqref="E16:F24">
    <cfRule type="containsText" dxfId="117" priority="37" operator="containsText" text="WEITER">
      <formula>NOT(ISERROR(SEARCH("WEITER",E16)))</formula>
    </cfRule>
  </conditionalFormatting>
  <dataValidations count="2">
    <dataValidation type="decimal" allowBlank="1" showInputMessage="1" showErrorMessage="1" sqref="D16:D24">
      <formula1>0</formula1>
      <formula2>1</formula2>
    </dataValidation>
    <dataValidation type="decimal" allowBlank="1" showInputMessage="1" showErrorMessage="1" sqref="D11">
      <formula1>0.01</formula1>
      <formula2>1E+21</formula2>
    </dataValidation>
  </dataValidations>
  <hyperlinks>
    <hyperlink ref="C36" location="'Intro 2'!A1" display="'Intro 2'!A1"/>
    <hyperlink ref="F36" location="'1'!A1" display="'1'!A1"/>
    <hyperlink ref="F38" location="'2'!A1" display="'2'!A1"/>
    <hyperlink ref="F40" location="'3'!A1" display="'3'!A1"/>
    <hyperlink ref="F42" location="'4'!A1" display="'4'!A1"/>
    <hyperlink ref="F44" location="'5'!A1" display="'5'!A1"/>
  </hyperlinks>
  <pageMargins left="0.74803149606299213" right="0.74803149606299213" top="0.39370078740157483" bottom="0.19685039370078741" header="0.51181102362204722" footer="0.51181102362204722"/>
  <pageSetup paperSize="9" scale="86" orientation="landscape" horizontalDpi="4294967292" verticalDpi="4294967292"/>
  <colBreaks count="1" manualBreakCount="1">
    <brk id="3" max="1048575" man="1"/>
  </colBreaks>
  <drawing r:id="rId1"/>
  <extLst>
    <ext xmlns:x14="http://schemas.microsoft.com/office/spreadsheetml/2009/9/main" uri="{78C0D931-6437-407d-A8EE-F0AAD7539E65}">
      <x14:conditionalFormattings>
        <x14:conditionalFormatting xmlns:xm="http://schemas.microsoft.com/office/excel/2006/main">
          <x14:cfRule type="cellIs" priority="2" operator="equal" id="{7B5ECE29-23ED-8140-A2B3-80CAE4238179}">
            <xm:f>txt!$B$222</xm:f>
            <x14:dxf>
              <font>
                <u/>
                <color rgb="FF0000FF"/>
              </font>
              <fill>
                <patternFill patternType="solid">
                  <fgColor indexed="64"/>
                  <bgColor rgb="FFFFFF00"/>
                </patternFill>
              </fill>
            </x14:dxf>
          </x14:cfRule>
          <xm:sqref>F36:F42</xm:sqref>
        </x14:conditionalFormatting>
        <x14:conditionalFormatting xmlns:xm="http://schemas.microsoft.com/office/excel/2006/main">
          <x14:cfRule type="cellIs" priority="1" operator="equal" id="{1B0DBBAE-0AE6-E747-88D2-2F3DB4EC90DC}">
            <xm:f>txt!$B$222</xm:f>
            <x14:dxf>
              <font>
                <u/>
                <color rgb="FF0000FF"/>
              </font>
              <fill>
                <patternFill patternType="solid">
                  <fgColor indexed="64"/>
                  <bgColor rgb="FFFFFF00"/>
                </patternFill>
              </fill>
            </x14:dxf>
          </x14:cfRule>
          <xm:sqref>F44</xm:sqref>
        </x14:conditionalFormatting>
      </x14:conditionalFormattings>
    </ex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tabColor theme="9" tint="0.39997558519241921"/>
    <pageSetUpPr fitToPage="1"/>
  </sheetPr>
  <dimension ref="A1:AY217"/>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8.6640625" style="133" customWidth="1"/>
    <col min="5" max="6" width="8.6640625" style="79" customWidth="1"/>
    <col min="7" max="7" width="2.6640625" style="79" customWidth="1"/>
    <col min="8" max="11" width="8.6640625" style="79" customWidth="1"/>
    <col min="12" max="47" width="10.6640625" style="50"/>
    <col min="48" max="16384" width="10.6640625" style="79"/>
  </cols>
  <sheetData>
    <row r="1" spans="1:11" ht="15" customHeight="1">
      <c r="A1" s="50"/>
      <c r="B1" s="366" t="str">
        <f>txt!B42</f>
        <v>Preiserhebung</v>
      </c>
      <c r="C1" s="366"/>
      <c r="D1" s="366"/>
      <c r="E1" s="366"/>
      <c r="F1" s="366"/>
      <c r="G1" s="366"/>
      <c r="H1" s="50"/>
      <c r="I1" s="50"/>
      <c r="J1" s="50"/>
      <c r="K1" s="51" t="str">
        <f>txt!B175</f>
        <v>Eidg. Departement des Innern</v>
      </c>
    </row>
    <row r="2" spans="1:11" ht="15" customHeight="1">
      <c r="A2" s="50"/>
      <c r="B2" s="366" t="str">
        <f>txt!B43</f>
        <v>Produzentenpreisindex</v>
      </c>
      <c r="C2" s="366"/>
      <c r="D2" s="366"/>
      <c r="E2" s="366"/>
      <c r="F2" s="366"/>
      <c r="G2" s="366"/>
      <c r="H2" s="50"/>
      <c r="I2" s="50"/>
      <c r="J2" s="50"/>
      <c r="K2" s="51" t="str">
        <f>txt!B176</f>
        <v>Bundesamt für Statistik BFS</v>
      </c>
    </row>
    <row r="3" spans="1:11" ht="15" customHeight="1">
      <c r="A3" s="50"/>
      <c r="B3" s="366" t="str">
        <f>txt!B44</f>
        <v>Informatikdienstleistungen</v>
      </c>
      <c r="C3" s="366"/>
      <c r="D3" s="366"/>
      <c r="E3" s="366"/>
      <c r="F3" s="366"/>
      <c r="G3" s="366"/>
      <c r="H3" s="50"/>
      <c r="I3" s="50"/>
      <c r="J3" s="50"/>
      <c r="K3" s="51" t="str">
        <f>txt!B177</f>
        <v>Abt. Wirtschaft, Sektion PREIS</v>
      </c>
    </row>
    <row r="4" spans="1:11" ht="13.5" customHeight="1">
      <c r="A4" s="63"/>
      <c r="B4" s="63"/>
      <c r="C4" s="63"/>
      <c r="D4" s="63"/>
      <c r="E4" s="63"/>
      <c r="F4" s="63"/>
      <c r="G4" s="63"/>
      <c r="H4" s="63"/>
      <c r="I4" s="63"/>
      <c r="J4" s="63"/>
      <c r="K4" s="63"/>
    </row>
    <row r="5" spans="1:11" ht="13.5" customHeight="1">
      <c r="A5" s="63" t="str">
        <f>txt!B46</f>
        <v>PMS-Nr. 0</v>
      </c>
      <c r="B5" s="63"/>
      <c r="C5" s="63"/>
      <c r="D5" s="63"/>
      <c r="E5" s="63"/>
      <c r="F5" s="63"/>
      <c r="G5" s="63"/>
      <c r="H5" s="63"/>
      <c r="I5" s="50"/>
      <c r="J5" s="63"/>
      <c r="K5" s="51" t="str">
        <f>txt!B45</f>
        <v/>
      </c>
    </row>
    <row r="6" spans="1:11" ht="13.5" customHeight="1">
      <c r="A6" s="63"/>
      <c r="B6" s="63"/>
      <c r="C6" s="63"/>
      <c r="D6" s="63"/>
      <c r="E6" s="63"/>
      <c r="F6" s="63"/>
      <c r="G6" s="63"/>
      <c r="H6" s="63"/>
      <c r="I6" s="63"/>
      <c r="J6" s="63"/>
      <c r="K6" s="63"/>
    </row>
    <row r="7" spans="1:11" ht="13.5" customHeight="1">
      <c r="A7" s="63" t="str">
        <f>txt!B47&amp;": "&amp;txt!B52</f>
        <v>Geschäftsfeld: IT-Infrastrukturdienste</v>
      </c>
      <c r="B7" s="63"/>
      <c r="C7" s="63"/>
      <c r="D7" s="63"/>
      <c r="E7" s="63"/>
      <c r="F7" s="63"/>
      <c r="G7" s="63"/>
      <c r="H7" s="349" t="str">
        <f>" "&amp;REPT("|",INT(Steuerung!AF45*107))</f>
        <v xml:space="preserve"> </v>
      </c>
      <c r="I7" s="350"/>
      <c r="J7" s="350"/>
      <c r="K7" s="351"/>
    </row>
    <row r="8" spans="1:11" ht="13.5" customHeight="1">
      <c r="A8" s="63" t="str">
        <f>txt!B48&amp;": "&amp;txt!B63</f>
        <v>Dienstleistungstyp: Platform as a Service (PaaS)</v>
      </c>
      <c r="B8" s="63"/>
      <c r="C8" s="63"/>
      <c r="D8" s="63"/>
      <c r="E8" s="63"/>
      <c r="F8" s="63"/>
      <c r="G8" s="63"/>
      <c r="H8" s="63"/>
      <c r="I8" s="63"/>
      <c r="J8" s="63"/>
      <c r="K8" s="65" t="str">
        <f>IF($A$17="",txt!B248,IF($H$17="",txt!B242,IF($I$17="",txt!B235,IF($J$17="",txt!B233,IF($K$17="",txt!B234,IF(A34=1,"",""))))))</f>
        <v>Bitte beschreiben Sie PaaS-Leistungen für ausländische Geschäftskunden</v>
      </c>
    </row>
    <row r="9" spans="1:11" ht="13.5" customHeight="1">
      <c r="A9" s="177"/>
      <c r="B9" s="63"/>
      <c r="C9" s="63"/>
      <c r="D9" s="63"/>
      <c r="E9" s="63"/>
      <c r="F9" s="50"/>
      <c r="G9" s="50"/>
      <c r="H9" s="50"/>
      <c r="I9" s="50"/>
      <c r="J9" s="50"/>
      <c r="K9" s="50"/>
    </row>
    <row r="10" spans="1:11" ht="13.5" customHeight="1">
      <c r="A10" s="357" t="str">
        <f>txt!B190</f>
        <v>Wie hoch war der Unit-Nettopreis im unten genannten Vertrag?</v>
      </c>
      <c r="B10" s="357"/>
      <c r="C10" s="357"/>
      <c r="D10" s="357"/>
      <c r="E10" s="357"/>
      <c r="F10" s="357"/>
      <c r="G10" s="357"/>
      <c r="H10" s="357"/>
      <c r="I10" s="357"/>
      <c r="J10" s="357"/>
      <c r="K10" s="357"/>
    </row>
    <row r="11" spans="1:11" ht="13.5" customHeight="1">
      <c r="A11" s="63"/>
      <c r="B11" s="63"/>
      <c r="C11" s="63"/>
      <c r="D11" s="63"/>
      <c r="E11" s="63"/>
      <c r="F11" s="63"/>
      <c r="G11" s="63"/>
      <c r="H11" s="63"/>
      <c r="I11" s="63"/>
      <c r="J11" s="50"/>
      <c r="K11" s="50"/>
    </row>
    <row r="12" spans="1:11" ht="13.5" customHeight="1">
      <c r="A12" s="352" t="str">
        <f>txt!B205&amp;":"</f>
        <v>Beschreiben Sie eine PaaS-Leistung für einen bis drei zentrale ausländische(n) Geschäftskunden (inkl. Kundenauftragsidentifikator, z.B. Auftragsnummer):</v>
      </c>
      <c r="B12" s="63"/>
      <c r="C12" s="63"/>
      <c r="D12" s="63"/>
      <c r="E12" s="63"/>
      <c r="F12" s="63"/>
      <c r="G12" s="50"/>
      <c r="H12" s="167" t="str">
        <f>txt!B158</f>
        <v>Kunde im Ausland</v>
      </c>
      <c r="I12" s="135"/>
      <c r="J12" s="135"/>
      <c r="K12" s="50"/>
    </row>
    <row r="13" spans="1:11" ht="13.5" customHeight="1">
      <c r="A13" s="352"/>
      <c r="B13" s="63"/>
      <c r="C13" s="63"/>
      <c r="D13" s="63"/>
      <c r="E13" s="63"/>
      <c r="F13" s="63"/>
      <c r="G13" s="50"/>
      <c r="H13" s="167"/>
      <c r="I13" s="135"/>
      <c r="J13" s="135"/>
      <c r="K13" s="50"/>
    </row>
    <row r="14" spans="1:11" ht="13.5" customHeight="1">
      <c r="A14" s="352"/>
      <c r="B14" s="63"/>
      <c r="C14" s="63"/>
      <c r="D14" s="63"/>
      <c r="E14" s="63"/>
      <c r="F14" s="63"/>
      <c r="G14" s="50"/>
      <c r="H14" s="57" t="str">
        <f>txt!B194</f>
        <v>Skalierbar</v>
      </c>
      <c r="I14" s="50"/>
      <c r="J14" s="168" t="str">
        <f>txt!B23</f>
        <v>März 2022</v>
      </c>
      <c r="K14" s="168" t="str">
        <f>txt!B24</f>
        <v>März 2021</v>
      </c>
    </row>
    <row r="15" spans="1:11" ht="13.5" customHeight="1">
      <c r="A15" s="352"/>
      <c r="B15" s="63"/>
      <c r="C15" s="63"/>
      <c r="D15" s="63"/>
      <c r="E15" s="63"/>
      <c r="F15" s="63"/>
      <c r="G15" s="50"/>
      <c r="H15" s="57" t="str">
        <f>txt!B195</f>
        <v>Einheit</v>
      </c>
      <c r="I15" s="57" t="str">
        <f>txt!$B$161</f>
        <v>Währung</v>
      </c>
      <c r="J15" s="170" t="str">
        <f>txt!B166</f>
        <v>Preis</v>
      </c>
      <c r="K15" s="170" t="str">
        <f>txt!B166</f>
        <v>Preis</v>
      </c>
    </row>
    <row r="16" spans="1:11" ht="13.5" customHeight="1">
      <c r="A16" s="63"/>
      <c r="B16" s="63"/>
      <c r="C16" s="63"/>
      <c r="D16" s="63"/>
      <c r="E16" s="63"/>
      <c r="F16" s="63"/>
      <c r="G16" s="63"/>
      <c r="H16" s="63"/>
      <c r="I16" s="63"/>
      <c r="J16" s="63"/>
      <c r="K16" s="63"/>
    </row>
    <row r="17" spans="1:51" ht="40.5" customHeight="1">
      <c r="A17" s="276"/>
      <c r="B17" s="149"/>
      <c r="C17" s="63"/>
      <c r="D17" s="63"/>
      <c r="E17" s="63"/>
      <c r="F17" s="63"/>
      <c r="G17" s="149"/>
      <c r="H17" s="310"/>
      <c r="I17" s="279"/>
      <c r="J17" s="284"/>
      <c r="K17" s="284"/>
    </row>
    <row r="18" spans="1:51" ht="7.5" customHeight="1">
      <c r="A18" s="111"/>
      <c r="B18" s="111"/>
      <c r="C18" s="63"/>
      <c r="D18" s="63"/>
      <c r="E18" s="63"/>
      <c r="F18" s="63"/>
      <c r="G18" s="111"/>
      <c r="H18" s="111"/>
      <c r="I18" s="111"/>
      <c r="J18" s="111"/>
      <c r="K18" s="111"/>
    </row>
    <row r="19" spans="1:51" ht="40.5" customHeight="1">
      <c r="A19" s="276"/>
      <c r="B19" s="149"/>
      <c r="C19" s="63"/>
      <c r="D19" s="63"/>
      <c r="E19" s="63"/>
      <c r="F19" s="63"/>
      <c r="G19" s="149"/>
      <c r="H19" s="310"/>
      <c r="I19" s="279"/>
      <c r="J19" s="284"/>
      <c r="K19" s="284"/>
    </row>
    <row r="20" spans="1:51" ht="7.5" customHeight="1">
      <c r="A20" s="111"/>
      <c r="B20" s="111"/>
      <c r="C20" s="63"/>
      <c r="D20" s="63"/>
      <c r="E20" s="63"/>
      <c r="F20" s="63"/>
      <c r="G20" s="111"/>
      <c r="H20" s="111"/>
      <c r="I20" s="111"/>
      <c r="J20" s="111"/>
      <c r="K20" s="111"/>
    </row>
    <row r="21" spans="1:51" ht="40.5" customHeight="1">
      <c r="A21" s="276"/>
      <c r="B21" s="149"/>
      <c r="C21" s="63"/>
      <c r="D21" s="63"/>
      <c r="E21" s="63"/>
      <c r="F21" s="63"/>
      <c r="G21" s="149"/>
      <c r="H21" s="310"/>
      <c r="I21" s="279"/>
      <c r="J21" s="284"/>
      <c r="K21" s="284"/>
    </row>
    <row r="22" spans="1:51" ht="13.5" customHeight="1">
      <c r="A22" s="156"/>
      <c r="B22" s="156"/>
      <c r="C22" s="63"/>
      <c r="D22" s="63"/>
      <c r="E22" s="63"/>
      <c r="F22" s="63"/>
      <c r="G22" s="156"/>
      <c r="H22" s="156"/>
      <c r="I22" s="156"/>
      <c r="J22" s="156"/>
      <c r="K22" s="156"/>
    </row>
    <row r="23" spans="1:51" ht="40.5" customHeight="1">
      <c r="A23" s="234" t="str">
        <f>txt!B206</f>
        <v>Beispiel: Datenbanklösungen für Kunde x.</v>
      </c>
      <c r="B23" s="156"/>
      <c r="C23" s="63"/>
      <c r="D23" s="63"/>
      <c r="E23" s="63"/>
      <c r="F23" s="63"/>
      <c r="G23" s="156"/>
      <c r="H23" s="348" t="str">
        <f>txt!B160</f>
        <v>Definition "Kunde im Ausland": Adresse des Leistungsbezügers im Ausland.</v>
      </c>
      <c r="I23" s="348"/>
      <c r="J23" s="348"/>
      <c r="K23" s="348"/>
    </row>
    <row r="24" spans="1:51" ht="7.5" customHeight="1">
      <c r="A24" s="156"/>
      <c r="B24" s="156"/>
      <c r="C24" s="63"/>
      <c r="D24" s="63"/>
      <c r="E24" s="63"/>
      <c r="F24" s="63"/>
      <c r="G24" s="156"/>
      <c r="H24" s="156"/>
      <c r="I24" s="156"/>
      <c r="J24" s="156"/>
      <c r="K24" s="156"/>
    </row>
    <row r="25" spans="1:51" ht="27" customHeight="1">
      <c r="A25" s="234" t="str">
        <f>txt!B207</f>
        <v>Beispiel: Web-Hosting mit Control Panels für Kunde y.</v>
      </c>
      <c r="B25" s="156"/>
      <c r="C25" s="63"/>
      <c r="D25" s="63"/>
      <c r="E25" s="63"/>
      <c r="F25" s="63"/>
      <c r="G25" s="156"/>
      <c r="H25" s="348" t="str">
        <f>txt!B169</f>
        <v>Die Preise sind ohne Mehrwertsteuer anzugeben.</v>
      </c>
      <c r="I25" s="348"/>
      <c r="J25" s="348"/>
      <c r="K25" s="348"/>
    </row>
    <row r="26" spans="1:51" ht="7.5" customHeight="1">
      <c r="A26" s="156"/>
      <c r="B26" s="156"/>
      <c r="C26" s="63"/>
      <c r="D26" s="63"/>
      <c r="E26" s="63"/>
      <c r="F26" s="63"/>
      <c r="G26" s="156"/>
      <c r="H26" s="156"/>
      <c r="I26" s="156"/>
      <c r="J26" s="156"/>
      <c r="K26" s="156"/>
    </row>
    <row r="27" spans="1:51" ht="40.5" customHeight="1">
      <c r="A27" s="234" t="str">
        <f>txt!B124</f>
        <v>Der Kundenidentifikator (Auftragsnummer, Kundennummer etc.) dient Ihnen ausschliesslich zur Identifizierung des Auftrags im Folgejahr. Sie können aus Sicherheitsgründen diese Nummer anonymisieren.</v>
      </c>
      <c r="B27" s="156"/>
      <c r="C27" s="63"/>
      <c r="D27" s="63"/>
      <c r="E27" s="63"/>
      <c r="F27" s="63"/>
      <c r="G27" s="156"/>
      <c r="H27" s="348" t="str">
        <f>txt!B192</f>
        <v>Unit-Nettopreis: (Pauschale + Unit-Preis * effektiv bezogene Leistung - allfällige Rabatte) / effektiv bezogene Leistung.</v>
      </c>
      <c r="I27" s="348"/>
      <c r="J27" s="348"/>
      <c r="K27" s="348"/>
    </row>
    <row r="28" spans="1:51" ht="13.5" customHeight="1">
      <c r="A28" s="156"/>
      <c r="B28" s="156"/>
      <c r="C28" s="156"/>
      <c r="D28" s="156"/>
      <c r="E28" s="156"/>
      <c r="F28" s="156"/>
      <c r="G28" s="156"/>
      <c r="H28" s="156"/>
      <c r="I28" s="156"/>
      <c r="J28" s="68"/>
      <c r="K28" s="156"/>
    </row>
    <row r="29" spans="1:51" ht="20.100000000000001" customHeight="1">
      <c r="A29" s="234" t="str">
        <f>txt!B125</f>
        <v>Bitte geben Sie den Preis bei Vertragsabschluss an.</v>
      </c>
      <c r="B29" s="187"/>
      <c r="C29" s="187"/>
      <c r="D29" s="187"/>
      <c r="E29" s="187"/>
      <c r="F29" s="187"/>
      <c r="G29" s="187"/>
      <c r="H29" s="187"/>
      <c r="I29" s="187"/>
      <c r="J29" s="68"/>
      <c r="K29" s="187"/>
      <c r="AV29" s="50"/>
      <c r="AW29" s="50"/>
      <c r="AX29" s="50"/>
      <c r="AY29" s="50"/>
    </row>
    <row r="30" spans="1:51" ht="13.5" customHeight="1">
      <c r="A30" s="187"/>
      <c r="B30" s="187"/>
      <c r="C30" s="187"/>
      <c r="D30" s="187"/>
      <c r="E30" s="187"/>
      <c r="F30" s="187"/>
      <c r="G30" s="187"/>
      <c r="H30" s="187"/>
      <c r="I30" s="187"/>
      <c r="J30" s="68"/>
      <c r="K30" s="187"/>
    </row>
    <row r="31" spans="1:51" ht="13.5" customHeight="1">
      <c r="A31" s="157" t="str">
        <f>txt!B173&amp;":"</f>
        <v>Bemerkungen:</v>
      </c>
      <c r="B31" s="111"/>
      <c r="C31" s="111"/>
      <c r="D31" s="111"/>
      <c r="E31" s="111"/>
      <c r="F31" s="111"/>
      <c r="G31" s="111"/>
      <c r="H31" s="111"/>
      <c r="I31" s="111"/>
      <c r="J31" s="80"/>
      <c r="K31" s="111"/>
    </row>
    <row r="32" spans="1:51" ht="54" customHeight="1">
      <c r="A32" s="367"/>
      <c r="B32" s="368"/>
      <c r="C32" s="368"/>
      <c r="D32" s="368"/>
      <c r="E32" s="368"/>
      <c r="F32" s="368"/>
      <c r="G32" s="368"/>
      <c r="H32" s="368"/>
      <c r="I32" s="368"/>
      <c r="J32" s="368"/>
      <c r="K32" s="369"/>
    </row>
    <row r="33" spans="1:11" ht="13.5" customHeight="1">
      <c r="A33" s="50"/>
      <c r="B33" s="50"/>
      <c r="C33" s="50"/>
      <c r="D33" s="50"/>
      <c r="E33" s="50"/>
      <c r="F33" s="50"/>
      <c r="G33" s="50"/>
      <c r="H33" s="50"/>
      <c r="I33" s="50"/>
      <c r="J33" s="50"/>
      <c r="K33" s="50"/>
    </row>
    <row r="34" spans="1:11" ht="13.5" customHeight="1">
      <c r="A34" s="78">
        <f>Steuerung!H45</f>
        <v>0</v>
      </c>
      <c r="B34" s="50"/>
      <c r="C34" s="268" t="str">
        <f>txt!$B$221</f>
        <v>ZURÜCK</v>
      </c>
      <c r="D34" s="181"/>
      <c r="E34" s="181"/>
      <c r="F34" s="181"/>
      <c r="G34" s="50"/>
      <c r="H34" s="269" t="str">
        <f>IF($A$17="","",IF($H$17="","",IF($I$17="","",IF($J$17="","",IF($K$17="","",IF(A34=1,txt!$B$222,""))))))</f>
        <v/>
      </c>
      <c r="I34" s="112"/>
      <c r="J34" s="50"/>
      <c r="K34" s="50"/>
    </row>
    <row r="35" spans="1:11" ht="13.5" customHeight="1">
      <c r="A35" s="78"/>
      <c r="B35" s="50"/>
      <c r="C35" s="181"/>
      <c r="D35" s="181"/>
      <c r="E35" s="181"/>
      <c r="F35" s="181"/>
      <c r="G35" s="50"/>
      <c r="H35" s="62"/>
      <c r="I35" s="112"/>
      <c r="J35" s="50"/>
      <c r="K35" s="50"/>
    </row>
    <row r="36" spans="1:11" ht="13.5" customHeight="1">
      <c r="A36" s="78">
        <f>Steuerung!J$45</f>
        <v>1</v>
      </c>
      <c r="B36" s="50"/>
      <c r="C36" s="50"/>
      <c r="D36" s="50"/>
      <c r="E36" s="50"/>
      <c r="F36" s="50"/>
      <c r="G36" s="50"/>
      <c r="H36" s="274" t="str">
        <f>IF($A$17="","",IF($H$17="","",IF($I$17="","",IF($J$17="","",IF($K$17="","",IF(AND(A36=1,A34=0),txt!$B$222,""))))))</f>
        <v/>
      </c>
      <c r="I36" s="62"/>
      <c r="J36" s="50"/>
      <c r="K36" s="50"/>
    </row>
    <row r="37" spans="1:11" s="50" customFormat="1" ht="13.5" customHeight="1">
      <c r="A37" s="63"/>
      <c r="B37" s="63"/>
      <c r="C37" s="63"/>
      <c r="D37" s="63"/>
      <c r="E37" s="63"/>
    </row>
    <row r="38" spans="1:11" s="50" customFormat="1" ht="13.5" customHeight="1"/>
    <row r="39" spans="1:11" s="50" customFormat="1" ht="13.5" customHeight="1"/>
    <row r="40" spans="1:11" s="50" customFormat="1" ht="13.5" customHeight="1"/>
    <row r="41" spans="1:11" s="50" customFormat="1"/>
    <row r="42" spans="1:11" s="50" customFormat="1" ht="12.95" customHeight="1"/>
    <row r="43" spans="1:11" s="50" customFormat="1"/>
    <row r="44" spans="1:11" s="50" customFormat="1"/>
    <row r="45" spans="1:11" s="50" customFormat="1"/>
    <row r="46" spans="1:11" s="50" customFormat="1"/>
    <row r="47" spans="1:11" s="50" customFormat="1"/>
    <row r="48" spans="1:11"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row r="164" s="50" customFormat="1"/>
    <row r="165" s="50" customFormat="1"/>
    <row r="166" s="50" customFormat="1"/>
    <row r="167" s="50" customFormat="1"/>
    <row r="168" s="50" customFormat="1"/>
    <row r="169" s="50" customFormat="1"/>
    <row r="170" s="50" customFormat="1"/>
    <row r="171" s="50" customFormat="1"/>
    <row r="172" s="50" customFormat="1"/>
    <row r="173" s="50" customFormat="1"/>
    <row r="174" s="50" customFormat="1"/>
    <row r="175" s="50" customFormat="1"/>
    <row r="176" s="50" customFormat="1"/>
    <row r="177" s="50" customFormat="1"/>
    <row r="178" s="50" customFormat="1"/>
    <row r="179" s="50" customFormat="1"/>
    <row r="180" s="50" customFormat="1"/>
    <row r="181" s="50" customFormat="1"/>
    <row r="182" s="50" customFormat="1"/>
    <row r="183" s="50" customFormat="1"/>
    <row r="184" s="50" customFormat="1"/>
    <row r="185" s="50" customFormat="1"/>
    <row r="186" s="50" customFormat="1"/>
    <row r="187" s="50" customFormat="1"/>
    <row r="188" s="50" customFormat="1"/>
    <row r="189" s="50" customFormat="1"/>
    <row r="190" s="50" customFormat="1"/>
    <row r="191" s="50" customFormat="1"/>
    <row r="192" s="50" customFormat="1"/>
    <row r="193" s="50" customFormat="1"/>
    <row r="194" s="50" customFormat="1"/>
    <row r="195" s="50" customFormat="1"/>
    <row r="196" s="50" customFormat="1"/>
    <row r="197" s="50" customFormat="1"/>
    <row r="198" s="50" customFormat="1"/>
    <row r="199" s="50" customFormat="1"/>
    <row r="200" s="50" customFormat="1"/>
    <row r="201" s="50" customFormat="1"/>
    <row r="202" s="50" customFormat="1"/>
    <row r="203" s="50" customFormat="1"/>
    <row r="204" s="50" customFormat="1"/>
    <row r="205" s="50" customFormat="1"/>
    <row r="206" s="50" customFormat="1"/>
    <row r="207" s="50" customFormat="1"/>
    <row r="208" s="50" customFormat="1"/>
    <row r="209" s="50" customFormat="1"/>
    <row r="210" s="50" customFormat="1"/>
    <row r="211" s="50" customFormat="1"/>
    <row r="212" s="50" customFormat="1"/>
    <row r="213" s="50" customFormat="1"/>
    <row r="214" s="50" customFormat="1"/>
    <row r="215" s="50" customFormat="1"/>
    <row r="216" s="50" customFormat="1"/>
    <row r="217" s="50" customFormat="1"/>
  </sheetData>
  <sheetProtection algorithmName="SHA-512" hashValue="xSo+V25DC9lMeoCV5liXh2IErtKmwiZY1BkndyB+wrZlf8hw6qgOg/h3abYbstU4zDr9qhdKuQZJJRxGFFw1nA==" saltValue="NSCKqDEVY3HlOLAUzjLJxg==" spinCount="100000" sheet="1" objects="1" scenarios="1"/>
  <mergeCells count="10">
    <mergeCell ref="B1:G1"/>
    <mergeCell ref="B2:G2"/>
    <mergeCell ref="B3:G3"/>
    <mergeCell ref="H27:K27"/>
    <mergeCell ref="A32:K32"/>
    <mergeCell ref="A10:K10"/>
    <mergeCell ref="H23:K23"/>
    <mergeCell ref="H7:K7"/>
    <mergeCell ref="A12:A15"/>
    <mergeCell ref="H25:K25"/>
  </mergeCells>
  <conditionalFormatting sqref="I34:I36">
    <cfRule type="containsText" dxfId="12" priority="3" operator="containsText" text="WEITER">
      <formula>NOT(ISERROR(SEARCH("WEITER",I34)))</formula>
    </cfRule>
  </conditionalFormatting>
  <conditionalFormatting sqref="J17:K17 J19:K19 J21:K21">
    <cfRule type="expression" dxfId="11" priority="4">
      <formula>#REF!=1</formula>
    </cfRule>
  </conditionalFormatting>
  <dataValidations count="3">
    <dataValidation type="list" allowBlank="1" showInputMessage="1" showErrorMessage="1" error="Bitte wählen Sie einen Wert aus dem Drop-Down-Menu / Sélectionnez une valeur dans le menu déroulant, s.v.p." sqref="I19">
      <formula1>$B$161:$B$163</formula1>
    </dataValidation>
    <dataValidation type="list" allowBlank="1" showInputMessage="1" showErrorMessage="1" error="Bitte wählen Sie einen Wert aus dem Drop-Down-Menu / Sélectionnez une valeur dans le menu déroulant, s.v.p." sqref="I21">
      <formula1>$B$161:$B$163</formula1>
    </dataValidation>
    <dataValidation type="textLength" allowBlank="1" showInputMessage="1" showErrorMessage="1" error="Bitte verwenden Sie nicht mehr als 199 Zeichen / S.v.p. utilisez 199 caractères au maximum" sqref="A17 A19 A21">
      <formula1>0</formula1>
      <formula2>199</formula2>
    </dataValidation>
  </dataValidations>
  <hyperlinks>
    <hyperlink ref="H34" location="'43uCH'!A1" display="'43uCH'!A1"/>
    <hyperlink ref="H36" location="'5'!A1" display="'5'!A1"/>
    <hyperlink ref="C34" location="'42uCH'!A1" display="'42uCH'!A1"/>
  </hyperlinks>
  <pageMargins left="0.74803149606299213" right="0.74803149606299213" top="0.39370078740157483" bottom="0.19685039370078741" header="0.51181102362204722" footer="0.51181102362204722"/>
  <pageSetup paperSize="9" scale="87"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3821863C-2F2D-8F43-9F53-EF8F7DA8B44D}">
            <xm:f>txt!$B$222</xm:f>
            <x14:dxf>
              <font>
                <u/>
                <color rgb="FF0000FF"/>
              </font>
              <fill>
                <patternFill patternType="solid">
                  <fgColor indexed="64"/>
                  <bgColor rgb="FFFFFF00"/>
                </patternFill>
              </fill>
            </x14:dxf>
          </x14:cfRule>
          <xm:sqref>H34:H36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I17</xm:sqref>
        </x14:dataValidation>
      </x14:dataValidations>
    </ex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tabColor theme="9" tint="0.39997558519241921"/>
    <pageSetUpPr fitToPage="1"/>
  </sheetPr>
  <dimension ref="A1:AY173"/>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12.6640625" style="133" customWidth="1"/>
    <col min="5" max="5" width="12.6640625" style="79" customWidth="1"/>
    <col min="6" max="6" width="2.6640625" style="79" customWidth="1"/>
    <col min="7" max="7" width="8.6640625" style="79" customWidth="1"/>
    <col min="8" max="9" width="12.6640625" style="79" customWidth="1"/>
    <col min="10" max="51" width="10.6640625" style="50"/>
    <col min="52" max="16384" width="10.6640625" style="79"/>
  </cols>
  <sheetData>
    <row r="1" spans="1:9" ht="15" customHeight="1">
      <c r="A1" s="50"/>
      <c r="B1" s="366" t="str">
        <f>txt!B42</f>
        <v>Preiserhebung</v>
      </c>
      <c r="C1" s="366"/>
      <c r="D1" s="366"/>
      <c r="E1" s="366"/>
      <c r="F1" s="366"/>
      <c r="G1" s="50"/>
      <c r="H1" s="50"/>
      <c r="I1" s="51" t="str">
        <f>txt!B175</f>
        <v>Eidg. Departement des Innern</v>
      </c>
    </row>
    <row r="2" spans="1:9" ht="15" customHeight="1">
      <c r="A2" s="50"/>
      <c r="B2" s="366" t="str">
        <f>txt!B43</f>
        <v>Produzentenpreisindex</v>
      </c>
      <c r="C2" s="366"/>
      <c r="D2" s="366"/>
      <c r="E2" s="366"/>
      <c r="F2" s="366"/>
      <c r="G2" s="50"/>
      <c r="H2" s="50"/>
      <c r="I2" s="51" t="str">
        <f>txt!B176</f>
        <v>Bundesamt für Statistik BFS</v>
      </c>
    </row>
    <row r="3" spans="1:9" ht="15" customHeight="1">
      <c r="A3" s="50"/>
      <c r="B3" s="366" t="str">
        <f>txt!B44</f>
        <v>Informatikdienstleistungen</v>
      </c>
      <c r="C3" s="366"/>
      <c r="D3" s="366"/>
      <c r="E3" s="366"/>
      <c r="F3" s="366"/>
      <c r="G3" s="50"/>
      <c r="H3" s="50"/>
      <c r="I3" s="51" t="str">
        <f>txt!B177</f>
        <v>Abt. Wirtschaft, Sektion PREIS</v>
      </c>
    </row>
    <row r="4" spans="1:9" ht="13.5" customHeight="1">
      <c r="A4" s="63"/>
      <c r="B4" s="63"/>
      <c r="C4" s="63"/>
      <c r="D4" s="63"/>
      <c r="E4" s="63"/>
      <c r="F4" s="63"/>
      <c r="G4" s="63"/>
      <c r="H4" s="63"/>
      <c r="I4" s="63"/>
    </row>
    <row r="5" spans="1:9" ht="13.5" customHeight="1">
      <c r="A5" s="63" t="str">
        <f>txt!B46</f>
        <v>PMS-Nr. 0</v>
      </c>
      <c r="B5" s="63"/>
      <c r="C5" s="63"/>
      <c r="D5" s="63"/>
      <c r="E5" s="63"/>
      <c r="F5" s="63"/>
      <c r="G5" s="63"/>
      <c r="H5" s="63"/>
      <c r="I5" s="51" t="str">
        <f>txt!B45</f>
        <v/>
      </c>
    </row>
    <row r="6" spans="1:9" ht="13.5" customHeight="1">
      <c r="A6" s="63"/>
      <c r="B6" s="63"/>
      <c r="C6" s="63"/>
      <c r="D6" s="63"/>
      <c r="E6" s="63"/>
      <c r="F6" s="63"/>
      <c r="G6" s="63"/>
      <c r="H6" s="63"/>
      <c r="I6" s="63"/>
    </row>
    <row r="7" spans="1:9" ht="13.5" customHeight="1">
      <c r="A7" s="63" t="str">
        <f>txt!B47&amp;": "&amp;txt!B52</f>
        <v>Geschäftsfeld: IT-Infrastrukturdienste</v>
      </c>
      <c r="B7" s="63"/>
      <c r="C7" s="63"/>
      <c r="D7" s="63"/>
      <c r="E7" s="63"/>
      <c r="F7" s="63"/>
      <c r="G7" s="349" t="str">
        <f>" "&amp;REPT("|",INT(Steuerung!AA47*105))</f>
        <v xml:space="preserve"> </v>
      </c>
      <c r="H7" s="350"/>
      <c r="I7" s="351"/>
    </row>
    <row r="8" spans="1:9" ht="13.5" customHeight="1">
      <c r="A8" s="63" t="str">
        <f>txt!B48&amp;": "&amp;txt!B64</f>
        <v>Dienstleistungstyp: Software as a Service (SaaS)</v>
      </c>
      <c r="B8" s="63"/>
      <c r="C8" s="63"/>
      <c r="D8" s="63"/>
      <c r="E8" s="63"/>
      <c r="F8" s="63"/>
      <c r="G8" s="63"/>
      <c r="H8" s="63"/>
      <c r="I8" s="65" t="str">
        <f>IF($A$17="",txt!B209,IF(OR($D$17="",AND($A$25=0,$H$17="")),txt!B233,IF(OR($E$17="",AND($A$25=0,$I$17="")),txt!B234,IF(AND($A$25=0,$G$17=""),txt!B235,IF(A26=1,"","")))))</f>
        <v>Beschreiben Sie eine typische SaaS-Leistung</v>
      </c>
    </row>
    <row r="9" spans="1:9" ht="13.5" customHeight="1">
      <c r="A9" s="63"/>
      <c r="B9" s="63"/>
      <c r="C9" s="63"/>
      <c r="D9" s="63"/>
      <c r="E9" s="63"/>
      <c r="F9" s="50"/>
      <c r="G9" s="50"/>
      <c r="H9" s="50"/>
      <c r="I9" s="50"/>
    </row>
    <row r="10" spans="1:9" ht="13.5" customHeight="1">
      <c r="A10" s="357" t="str">
        <f>txt!B191</f>
        <v>Zu welchem Unit-Nettopreis würden Sie die von Ihnen unten beschriebene Dienstleistung anbieten?</v>
      </c>
      <c r="B10" s="357"/>
      <c r="C10" s="357"/>
      <c r="D10" s="357"/>
      <c r="E10" s="357"/>
      <c r="F10" s="357"/>
      <c r="G10" s="357"/>
      <c r="H10" s="357"/>
      <c r="I10" s="357"/>
    </row>
    <row r="11" spans="1:9" ht="13.5" customHeight="1">
      <c r="A11" s="157"/>
      <c r="B11" s="157"/>
      <c r="C11" s="157"/>
      <c r="D11" s="157"/>
      <c r="E11" s="157"/>
      <c r="F11" s="157"/>
      <c r="G11" s="157"/>
      <c r="H11" s="157"/>
      <c r="I11" s="157"/>
    </row>
    <row r="12" spans="1:9" ht="13.5" customHeight="1">
      <c r="A12" s="157"/>
      <c r="B12" s="157"/>
      <c r="C12" s="157"/>
      <c r="D12" s="157"/>
      <c r="E12" s="157"/>
      <c r="F12" s="157"/>
      <c r="G12" s="157"/>
      <c r="H12" s="157"/>
      <c r="I12" s="157"/>
    </row>
    <row r="13" spans="1:9" ht="13.5" customHeight="1">
      <c r="A13" s="50"/>
      <c r="B13" s="50"/>
      <c r="C13" s="50"/>
      <c r="D13" s="167" t="str">
        <f>txt!B157</f>
        <v>Kunde in der Schweiz</v>
      </c>
      <c r="E13" s="135"/>
      <c r="F13" s="135"/>
      <c r="G13" s="167" t="str">
        <f>txt!B158</f>
        <v>Kunde im Ausland</v>
      </c>
      <c r="H13" s="167"/>
      <c r="I13" s="167"/>
    </row>
    <row r="14" spans="1:9" ht="13.5" customHeight="1">
      <c r="A14" s="50"/>
      <c r="B14" s="50"/>
      <c r="C14" s="50"/>
      <c r="D14" s="167"/>
      <c r="E14" s="135"/>
      <c r="F14" s="135"/>
      <c r="G14" s="167"/>
      <c r="H14" s="167"/>
      <c r="I14" s="167"/>
    </row>
    <row r="15" spans="1:9" ht="13.5" customHeight="1">
      <c r="B15" s="50"/>
      <c r="C15" s="50"/>
      <c r="D15" s="168" t="str">
        <f>txt!B23</f>
        <v>März 2022</v>
      </c>
      <c r="E15" s="168" t="str">
        <f>txt!B24</f>
        <v>März 2021</v>
      </c>
      <c r="F15" s="169"/>
      <c r="G15" s="165"/>
      <c r="H15" s="168" t="str">
        <f>D15</f>
        <v>März 2022</v>
      </c>
      <c r="I15" s="168" t="str">
        <f>E15</f>
        <v>März 2021</v>
      </c>
    </row>
    <row r="16" spans="1:9" ht="13.5" customHeight="1">
      <c r="A16" s="57" t="str">
        <f>txt!B209&amp;":"</f>
        <v>Beschreiben Sie eine typische SaaS-Leistung:</v>
      </c>
      <c r="B16" s="50"/>
      <c r="C16" s="50"/>
      <c r="D16" s="170" t="str">
        <f>txt!B166</f>
        <v>Preis</v>
      </c>
      <c r="E16" s="170" t="str">
        <f>txt!B166</f>
        <v>Preis</v>
      </c>
      <c r="F16" s="169"/>
      <c r="G16" s="169" t="str">
        <f>txt!B161</f>
        <v>Währung</v>
      </c>
      <c r="H16" s="170" t="str">
        <f>D16</f>
        <v>Preis</v>
      </c>
      <c r="I16" s="170" t="str">
        <f>E16</f>
        <v>Preis</v>
      </c>
    </row>
    <row r="17" spans="1:9" ht="40.5" customHeight="1">
      <c r="A17" s="307"/>
      <c r="B17" s="137"/>
      <c r="C17" s="171"/>
      <c r="D17" s="309"/>
      <c r="E17" s="309"/>
      <c r="F17" s="172"/>
      <c r="G17" s="279"/>
      <c r="H17" s="284"/>
      <c r="I17" s="284"/>
    </row>
    <row r="18" spans="1:9" ht="13.5" customHeight="1">
      <c r="A18" s="157"/>
      <c r="B18" s="157"/>
      <c r="C18" s="157"/>
      <c r="D18" s="50"/>
      <c r="E18" s="50"/>
      <c r="F18" s="157"/>
      <c r="G18" s="50"/>
      <c r="H18" s="50"/>
      <c r="I18" s="50"/>
    </row>
    <row r="19" spans="1:9" ht="40.5" customHeight="1">
      <c r="A19" s="73" t="str">
        <f>txt!B212</f>
        <v>Beispiel: Customer Relationship Management (CRM)-Lösung für Kunde x.</v>
      </c>
      <c r="B19" s="157"/>
      <c r="C19" s="157"/>
      <c r="D19" s="348" t="str">
        <f>txt!B159</f>
        <v>Defintion "Kunde in der Schweiz": Adresse des Leistungsbezügers im Inland.</v>
      </c>
      <c r="E19" s="348"/>
      <c r="F19" s="173"/>
      <c r="G19" s="348" t="str">
        <f>txt!B160</f>
        <v>Definition "Kunde im Ausland": Adresse des Leistungsbezügers im Ausland.</v>
      </c>
      <c r="H19" s="348"/>
      <c r="I19" s="348"/>
    </row>
    <row r="20" spans="1:9" ht="7.5" customHeight="1">
      <c r="A20" s="157"/>
      <c r="B20" s="157"/>
      <c r="C20" s="157"/>
      <c r="D20" s="173"/>
      <c r="E20" s="173"/>
      <c r="F20" s="173"/>
      <c r="G20" s="173"/>
      <c r="H20" s="173"/>
      <c r="I20" s="173"/>
    </row>
    <row r="21" spans="1:9" ht="27" customHeight="1">
      <c r="A21" s="234" t="str">
        <f>txt!B213</f>
        <v>Beispiel: Enterprise Ressource Planning (ERP)-Lösung für Kunde y.</v>
      </c>
      <c r="B21" s="157"/>
      <c r="C21" s="157"/>
      <c r="D21" s="374" t="str">
        <f>txt!B169</f>
        <v>Die Preise sind ohne Mehrwertsteuer anzugeben.</v>
      </c>
      <c r="E21" s="374"/>
      <c r="F21" s="173"/>
      <c r="G21" s="371"/>
      <c r="H21" s="371"/>
      <c r="I21" s="371"/>
    </row>
    <row r="22" spans="1:9" ht="13.5" customHeight="1">
      <c r="A22" s="157"/>
      <c r="B22" s="157"/>
      <c r="C22" s="157"/>
      <c r="D22" s="157"/>
      <c r="E22" s="157"/>
      <c r="F22" s="157"/>
      <c r="G22" s="157"/>
      <c r="H22" s="157"/>
      <c r="I22" s="157"/>
    </row>
    <row r="23" spans="1:9" ht="13.5" customHeight="1">
      <c r="A23" s="157" t="str">
        <f>txt!B173&amp;":"</f>
        <v>Bemerkungen:</v>
      </c>
      <c r="B23" s="157"/>
      <c r="C23" s="157"/>
      <c r="D23" s="157"/>
      <c r="E23" s="157"/>
      <c r="F23" s="157"/>
      <c r="G23" s="157"/>
      <c r="H23" s="157"/>
      <c r="I23" s="157"/>
    </row>
    <row r="24" spans="1:9" ht="54" customHeight="1">
      <c r="A24" s="367"/>
      <c r="B24" s="368"/>
      <c r="C24" s="368"/>
      <c r="D24" s="368"/>
      <c r="E24" s="368"/>
      <c r="F24" s="368"/>
      <c r="G24" s="368"/>
      <c r="H24" s="368"/>
      <c r="I24" s="369"/>
    </row>
    <row r="25" spans="1:9" ht="13.5" customHeight="1">
      <c r="A25" s="78">
        <f>Steuerung!E48</f>
        <v>1</v>
      </c>
      <c r="B25" s="57"/>
      <c r="C25" s="57"/>
      <c r="D25" s="57"/>
      <c r="E25" s="50"/>
      <c r="F25" s="50"/>
      <c r="G25" s="50"/>
      <c r="H25" s="50"/>
      <c r="I25" s="50"/>
    </row>
    <row r="26" spans="1:9" ht="13.5" customHeight="1">
      <c r="A26" s="78">
        <v>1</v>
      </c>
      <c r="B26" s="50"/>
      <c r="C26" s="268" t="str">
        <f>txt!$B$221</f>
        <v>ZURÜCK</v>
      </c>
      <c r="D26" s="50"/>
      <c r="E26" s="50"/>
      <c r="F26" s="50"/>
      <c r="G26" s="274" t="str">
        <f>IF($A$17="","",IF(OR($D$17="",AND($A$25=0,$H$17="")),"",IF(OR($E$17="",AND($A$25=0,$I$17="")),"",IF(AND($A$25=0,$G$17=""),"",IF(A26=1,txt!$B$222,"")))))</f>
        <v/>
      </c>
      <c r="H26" s="50"/>
      <c r="I26" s="50"/>
    </row>
    <row r="27" spans="1:9" s="50" customFormat="1" ht="13.5" customHeight="1">
      <c r="A27" s="78"/>
      <c r="E27" s="80"/>
    </row>
    <row r="28" spans="1:9" s="50" customFormat="1" ht="13.5" customHeight="1"/>
    <row r="29" spans="1:9" s="50" customFormat="1"/>
    <row r="30" spans="1:9" s="50" customFormat="1"/>
    <row r="31" spans="1:9" s="50" customFormat="1"/>
    <row r="32" spans="1:9" s="50" customFormat="1"/>
    <row r="33" s="50" customFormat="1"/>
    <row r="34" s="50" customFormat="1"/>
    <row r="35" s="50" customFormat="1"/>
    <row r="36" s="50" customFormat="1" ht="12.95" customHeight="1"/>
    <row r="37" s="50" customFormat="1"/>
    <row r="38" s="50" customFormat="1"/>
    <row r="39" s="50" customFormat="1"/>
    <row r="40" s="50" customFormat="1"/>
    <row r="41" s="50" customFormat="1"/>
    <row r="42" s="50" customFormat="1"/>
    <row r="43" s="50" customFormat="1"/>
    <row r="44" s="50" customFormat="1"/>
    <row r="45" s="50" customFormat="1"/>
    <row r="46" s="50" customFormat="1"/>
    <row r="47" s="50" customFormat="1"/>
    <row r="48"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pans="21:21" s="50" customFormat="1"/>
    <row r="66" spans="21:21" s="50" customFormat="1"/>
    <row r="67" spans="21:21" s="50" customFormat="1">
      <c r="U67" s="78"/>
    </row>
    <row r="68" spans="21:21" s="50" customFormat="1"/>
    <row r="69" spans="21:21" s="50" customFormat="1"/>
    <row r="70" spans="21:21" s="50" customFormat="1"/>
    <row r="71" spans="21:21" s="50" customFormat="1"/>
    <row r="72" spans="21:21" s="50" customFormat="1"/>
    <row r="73" spans="21:21" s="50" customFormat="1"/>
    <row r="74" spans="21:21" s="50" customFormat="1"/>
    <row r="75" spans="21:21" s="50" customFormat="1"/>
    <row r="76" spans="21:21" s="50" customFormat="1"/>
    <row r="77" spans="21:21" s="50" customFormat="1"/>
    <row r="78" spans="21:21" s="50" customFormat="1"/>
    <row r="79" spans="21:21" s="50" customFormat="1"/>
    <row r="80" spans="21:21"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row r="164" s="50" customFormat="1"/>
    <row r="165" s="50" customFormat="1"/>
    <row r="166" s="50" customFormat="1"/>
    <row r="167" s="50" customFormat="1"/>
    <row r="168" s="50" customFormat="1"/>
    <row r="169" s="50" customFormat="1"/>
    <row r="170" s="50" customFormat="1"/>
    <row r="171" s="50" customFormat="1"/>
    <row r="172" s="50" customFormat="1"/>
    <row r="173" s="50" customFormat="1"/>
  </sheetData>
  <sheetProtection algorithmName="SHA-512" hashValue="Mslp0+USoCgsvXI2gyE784Fi7/enHtmqdzxuQXLotXpNn4j+MxAZdzOAOzty9b2DV+fyIRcf3NYkC9JS80aBvA==" saltValue="BUxf7ZEATXIFvw/7Ey3RcQ==" spinCount="100000" sheet="1" objects="1" scenarios="1"/>
  <mergeCells count="10">
    <mergeCell ref="G7:I7"/>
    <mergeCell ref="B1:F1"/>
    <mergeCell ref="B3:F3"/>
    <mergeCell ref="B2:F2"/>
    <mergeCell ref="A24:I24"/>
    <mergeCell ref="D21:E21"/>
    <mergeCell ref="G21:I21"/>
    <mergeCell ref="A10:I10"/>
    <mergeCell ref="D19:E19"/>
    <mergeCell ref="G19:I19"/>
  </mergeCells>
  <conditionalFormatting sqref="E27">
    <cfRule type="containsText" dxfId="9" priority="8" operator="containsText" text="WEITER">
      <formula>NOT(ISERROR(SEARCH("WEITER",E27)))</formula>
    </cfRule>
  </conditionalFormatting>
  <conditionalFormatting sqref="G13:I21">
    <cfRule type="expression" dxfId="8" priority="3">
      <formula>$A$25=1</formula>
    </cfRule>
  </conditionalFormatting>
  <dataValidations count="1">
    <dataValidation type="textLength" allowBlank="1" showInputMessage="1" showErrorMessage="1" error="Bitte verwenden Sie nicht mehr als 199 Zeichen / S.v.p. utilisez 199 caractères au maximum" sqref="A17">
      <formula1>0</formula1>
      <formula2>199</formula2>
    </dataValidation>
  </dataValidations>
  <hyperlinks>
    <hyperlink ref="G26" location="'5'!A1" display="'5'!A1"/>
    <hyperlink ref="C26" location="'40'!$A$1" display="'40'!$A$1"/>
  </hyperlinks>
  <pageMargins left="0.74803149606299213" right="0.74803149606299213" top="0.39370078740157483" bottom="0.19685039370078741" header="0.51181102362204722" footer="0.51181102362204722"/>
  <pageSetup paperSize="9" scale="88"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C7017C2A-8D90-D344-8481-A60C016EA649}">
            <xm:f>txt!$B$222</xm:f>
            <x14:dxf>
              <font>
                <u/>
                <color rgb="FF0000FF"/>
              </font>
              <fill>
                <patternFill patternType="solid">
                  <fgColor indexed="64"/>
                  <bgColor rgb="FFFFFF00"/>
                </patternFill>
              </fill>
            </x14:dxf>
          </x14:cfRule>
          <xm:sqref>G26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G17</xm:sqref>
        </x14:dataValidation>
      </x14:dataValidations>
    </ex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tabColor theme="9" tint="0.39997558519241921"/>
    <pageSetUpPr fitToPage="1"/>
  </sheetPr>
  <dimension ref="A1:AY188"/>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8.6640625" style="133" customWidth="1"/>
    <col min="5" max="6" width="8.6640625" style="79" customWidth="1"/>
    <col min="7" max="7" width="2.6640625" style="79" customWidth="1"/>
    <col min="8" max="11" width="8.6640625" style="79" customWidth="1"/>
    <col min="12" max="47" width="10.6640625" style="50"/>
    <col min="48" max="16384" width="10.6640625" style="79"/>
  </cols>
  <sheetData>
    <row r="1" spans="1:11" ht="15" customHeight="1">
      <c r="A1" s="50"/>
      <c r="B1" s="366" t="str">
        <f>txt!B42</f>
        <v>Preiserhebung</v>
      </c>
      <c r="C1" s="366"/>
      <c r="D1" s="366"/>
      <c r="E1" s="366"/>
      <c r="F1" s="366"/>
      <c r="G1" s="366"/>
      <c r="H1" s="50"/>
      <c r="I1" s="50"/>
      <c r="J1" s="50"/>
      <c r="K1" s="51" t="str">
        <f>txt!B175</f>
        <v>Eidg. Departement des Innern</v>
      </c>
    </row>
    <row r="2" spans="1:11" ht="15" customHeight="1">
      <c r="A2" s="50"/>
      <c r="B2" s="366" t="str">
        <f>txt!B43</f>
        <v>Produzentenpreisindex</v>
      </c>
      <c r="C2" s="366"/>
      <c r="D2" s="366"/>
      <c r="E2" s="366"/>
      <c r="F2" s="366"/>
      <c r="G2" s="366"/>
      <c r="H2" s="50"/>
      <c r="I2" s="50"/>
      <c r="J2" s="50"/>
      <c r="K2" s="51" t="str">
        <f>txt!B176</f>
        <v>Bundesamt für Statistik BFS</v>
      </c>
    </row>
    <row r="3" spans="1:11" ht="15" customHeight="1">
      <c r="A3" s="50"/>
      <c r="B3" s="366" t="str">
        <f>txt!B44</f>
        <v>Informatikdienstleistungen</v>
      </c>
      <c r="C3" s="366"/>
      <c r="D3" s="366"/>
      <c r="E3" s="366"/>
      <c r="F3" s="366"/>
      <c r="G3" s="366"/>
      <c r="H3" s="50"/>
      <c r="I3" s="50"/>
      <c r="J3" s="50"/>
      <c r="K3" s="51" t="str">
        <f>txt!B177</f>
        <v>Abt. Wirtschaft, Sektion PREIS</v>
      </c>
    </row>
    <row r="4" spans="1:11" ht="13.5" customHeight="1">
      <c r="A4" s="63"/>
      <c r="B4" s="63"/>
      <c r="C4" s="63"/>
      <c r="D4" s="63"/>
      <c r="E4" s="63"/>
      <c r="F4" s="63"/>
      <c r="G4" s="63"/>
      <c r="H4" s="63"/>
      <c r="I4" s="63"/>
      <c r="J4" s="63"/>
      <c r="K4" s="63"/>
    </row>
    <row r="5" spans="1:11" ht="13.5" customHeight="1">
      <c r="A5" s="63" t="str">
        <f>txt!B46</f>
        <v>PMS-Nr. 0</v>
      </c>
      <c r="B5" s="63"/>
      <c r="C5" s="63"/>
      <c r="D5" s="63"/>
      <c r="E5" s="63"/>
      <c r="F5" s="63"/>
      <c r="G5" s="63"/>
      <c r="H5" s="63"/>
      <c r="I5" s="50"/>
      <c r="J5" s="63"/>
      <c r="K5" s="51" t="str">
        <f>txt!B45</f>
        <v/>
      </c>
    </row>
    <row r="6" spans="1:11" ht="13.5" customHeight="1">
      <c r="A6" s="63"/>
      <c r="B6" s="63"/>
      <c r="C6" s="63"/>
      <c r="D6" s="63"/>
      <c r="E6" s="63"/>
      <c r="F6" s="63"/>
      <c r="G6" s="63"/>
      <c r="H6" s="63"/>
      <c r="I6" s="63"/>
      <c r="J6" s="63"/>
      <c r="K6" s="63"/>
    </row>
    <row r="7" spans="1:11" ht="13.5" customHeight="1">
      <c r="A7" s="63" t="str">
        <f>txt!B47&amp;": "&amp;txt!B52</f>
        <v>Geschäftsfeld: IT-Infrastrukturdienste</v>
      </c>
      <c r="B7" s="63"/>
      <c r="C7" s="63"/>
      <c r="D7" s="63"/>
      <c r="E7" s="63"/>
      <c r="F7" s="63"/>
      <c r="G7" s="63"/>
      <c r="H7" s="349" t="str">
        <f>" "&amp;REPT("|",INT(Steuerung!AA49*107))</f>
        <v xml:space="preserve"> </v>
      </c>
      <c r="I7" s="350"/>
      <c r="J7" s="350"/>
      <c r="K7" s="351"/>
    </row>
    <row r="8" spans="1:11" ht="13.5" customHeight="1">
      <c r="A8" s="63" t="str">
        <f>txt!B48&amp;": "&amp;txt!B64</f>
        <v>Dienstleistungstyp: Software as a Service (SaaS)</v>
      </c>
      <c r="B8" s="63"/>
      <c r="C8" s="63"/>
      <c r="D8" s="63"/>
      <c r="E8" s="63"/>
      <c r="F8" s="63"/>
      <c r="G8" s="63"/>
      <c r="H8" s="63"/>
      <c r="I8" s="63"/>
      <c r="J8" s="63"/>
      <c r="K8" s="65" t="str">
        <f>IF($A$17="",txt!B249,IF($C$17="",txt!B242,IF($E$17="",txt!B233,IF($F$17="",txt!B234,IF(A34=1,"","")))))</f>
        <v>Bitte beschreiben Sie SaaS-Leistungen für Schweizer Geschäftskunden</v>
      </c>
    </row>
    <row r="9" spans="1:11" ht="13.5" customHeight="1">
      <c r="A9" s="63"/>
      <c r="B9" s="63"/>
      <c r="C9" s="63"/>
      <c r="D9" s="63"/>
      <c r="E9" s="63"/>
      <c r="F9" s="50"/>
      <c r="G9" s="50"/>
      <c r="H9" s="50"/>
      <c r="I9" s="50"/>
      <c r="J9" s="50"/>
      <c r="K9" s="50"/>
    </row>
    <row r="10" spans="1:11" ht="13.5" customHeight="1">
      <c r="A10" s="357" t="str">
        <f>txt!B190</f>
        <v>Wie hoch war der Unit-Nettopreis im unten genannten Vertrag?</v>
      </c>
      <c r="B10" s="357"/>
      <c r="C10" s="357"/>
      <c r="D10" s="357"/>
      <c r="E10" s="357"/>
      <c r="F10" s="357"/>
      <c r="G10" s="357"/>
      <c r="H10" s="357"/>
      <c r="I10" s="357"/>
      <c r="J10" s="357"/>
      <c r="K10" s="357"/>
    </row>
    <row r="11" spans="1:11" ht="13.5" customHeight="1">
      <c r="A11" s="63"/>
      <c r="B11" s="63"/>
      <c r="C11" s="63"/>
      <c r="D11" s="63"/>
      <c r="E11" s="63"/>
      <c r="F11" s="63"/>
      <c r="G11" s="63"/>
      <c r="H11" s="63"/>
      <c r="I11" s="63"/>
      <c r="J11" s="50"/>
      <c r="K11" s="50"/>
    </row>
    <row r="12" spans="1:11" ht="13.5" customHeight="1">
      <c r="A12" s="352" t="str">
        <f>txt!B210&amp;":"</f>
        <v>Beschreiben Sie eine SaaS-Leistung für einen bis drei zentrale(n) Schweizer Geschäftskunden (inkl. Kundenauftragsidentifikator, z.B. Auftragsnummer):</v>
      </c>
      <c r="B12" s="63"/>
      <c r="C12" s="167" t="str">
        <f>txt!B157</f>
        <v>Kunde in der Schweiz</v>
      </c>
      <c r="D12" s="135"/>
      <c r="E12" s="135"/>
      <c r="F12" s="50"/>
      <c r="G12" s="50"/>
      <c r="H12" s="167"/>
      <c r="I12" s="167"/>
      <c r="J12" s="167"/>
      <c r="K12" s="50"/>
    </row>
    <row r="13" spans="1:11" ht="13.5" customHeight="1">
      <c r="A13" s="352"/>
      <c r="B13" s="63"/>
      <c r="C13" s="167"/>
      <c r="D13" s="135"/>
      <c r="E13" s="135"/>
      <c r="F13" s="50"/>
      <c r="G13" s="50"/>
      <c r="H13" s="167"/>
      <c r="I13" s="167"/>
      <c r="J13" s="167"/>
      <c r="K13" s="50"/>
    </row>
    <row r="14" spans="1:11" ht="13.5" customHeight="1">
      <c r="A14" s="352"/>
      <c r="B14" s="63"/>
      <c r="C14" s="57" t="str">
        <f>txt!B194</f>
        <v>Skalierbar</v>
      </c>
      <c r="D14" s="50"/>
      <c r="E14" s="168" t="str">
        <f>txt!B23</f>
        <v>März 2022</v>
      </c>
      <c r="F14" s="168" t="str">
        <f>txt!B24</f>
        <v>März 2021</v>
      </c>
      <c r="G14" s="50"/>
      <c r="H14" s="57"/>
      <c r="I14" s="165"/>
      <c r="J14" s="168"/>
      <c r="K14" s="168"/>
    </row>
    <row r="15" spans="1:11" ht="13.5" customHeight="1">
      <c r="A15" s="352"/>
      <c r="B15" s="63"/>
      <c r="C15" s="57" t="str">
        <f>txt!B195</f>
        <v>Einheit</v>
      </c>
      <c r="D15" s="57" t="str">
        <f>txt!$B$161</f>
        <v>Währung</v>
      </c>
      <c r="E15" s="170" t="str">
        <f>txt!B166</f>
        <v>Preis</v>
      </c>
      <c r="F15" s="170" t="str">
        <f>txt!B166</f>
        <v>Preis</v>
      </c>
      <c r="G15" s="50"/>
      <c r="H15" s="57"/>
      <c r="I15" s="169"/>
      <c r="J15" s="168"/>
      <c r="K15" s="168"/>
    </row>
    <row r="16" spans="1:11" ht="13.5" customHeight="1">
      <c r="A16" s="63"/>
      <c r="B16" s="63"/>
      <c r="C16" s="63"/>
      <c r="D16" s="63"/>
      <c r="E16" s="63"/>
      <c r="F16" s="63"/>
      <c r="G16" s="63"/>
      <c r="H16" s="63"/>
      <c r="I16" s="63"/>
      <c r="J16" s="50"/>
      <c r="K16" s="50"/>
    </row>
    <row r="17" spans="1:51" ht="40.5" customHeight="1">
      <c r="A17" s="276"/>
      <c r="B17" s="149"/>
      <c r="C17" s="310"/>
      <c r="D17" s="180" t="s">
        <v>159</v>
      </c>
      <c r="E17" s="284"/>
      <c r="F17" s="284"/>
      <c r="G17" s="149"/>
      <c r="H17" s="149"/>
      <c r="I17" s="149"/>
      <c r="J17" s="50"/>
      <c r="K17" s="156"/>
    </row>
    <row r="18" spans="1:51" ht="7.5" customHeight="1">
      <c r="A18" s="111"/>
      <c r="B18" s="111"/>
      <c r="C18" s="111"/>
      <c r="D18" s="111"/>
      <c r="E18" s="111"/>
      <c r="F18" s="111"/>
      <c r="G18" s="111"/>
      <c r="H18" s="111"/>
      <c r="I18" s="111"/>
      <c r="J18" s="80"/>
      <c r="K18" s="111"/>
    </row>
    <row r="19" spans="1:51" ht="40.5" customHeight="1">
      <c r="A19" s="276"/>
      <c r="B19" s="149"/>
      <c r="C19" s="310"/>
      <c r="D19" s="180" t="s">
        <v>159</v>
      </c>
      <c r="E19" s="284"/>
      <c r="F19" s="284"/>
      <c r="G19" s="149"/>
      <c r="H19" s="149"/>
      <c r="I19" s="149"/>
      <c r="J19" s="50"/>
      <c r="K19" s="156"/>
    </row>
    <row r="20" spans="1:51" ht="7.5" customHeight="1">
      <c r="A20" s="111"/>
      <c r="B20" s="111"/>
      <c r="C20" s="111"/>
      <c r="D20" s="111"/>
      <c r="E20" s="111"/>
      <c r="F20" s="111"/>
      <c r="G20" s="111"/>
      <c r="H20" s="111"/>
      <c r="I20" s="111"/>
      <c r="J20" s="80"/>
      <c r="K20" s="111"/>
    </row>
    <row r="21" spans="1:51" ht="40.5" customHeight="1">
      <c r="A21" s="276"/>
      <c r="B21" s="149"/>
      <c r="C21" s="310"/>
      <c r="D21" s="180" t="s">
        <v>159</v>
      </c>
      <c r="E21" s="284"/>
      <c r="F21" s="284"/>
      <c r="G21" s="149"/>
      <c r="H21" s="149"/>
      <c r="I21" s="149"/>
      <c r="J21" s="50"/>
      <c r="K21" s="156"/>
    </row>
    <row r="22" spans="1:51" ht="13.5" customHeight="1">
      <c r="A22" s="156"/>
      <c r="B22" s="156"/>
      <c r="C22" s="156"/>
      <c r="D22" s="156"/>
      <c r="E22" s="156"/>
      <c r="F22" s="156"/>
      <c r="G22" s="156"/>
      <c r="H22" s="156"/>
      <c r="I22" s="156"/>
      <c r="J22" s="68"/>
      <c r="K22" s="156"/>
    </row>
    <row r="23" spans="1:51" ht="40.5" customHeight="1">
      <c r="A23" s="234" t="str">
        <f>txt!B212</f>
        <v>Beispiel: Customer Relationship Management (CRM)-Lösung für Kunde x.</v>
      </c>
      <c r="B23" s="156"/>
      <c r="C23" s="348" t="str">
        <f>txt!B159</f>
        <v>Defintion "Kunde in der Schweiz": Adresse des Leistungsbezügers im Inland.</v>
      </c>
      <c r="D23" s="348"/>
      <c r="E23" s="348"/>
      <c r="F23" s="348"/>
      <c r="G23" s="156"/>
      <c r="H23" s="156"/>
      <c r="I23" s="156"/>
      <c r="J23" s="68"/>
      <c r="K23" s="156"/>
    </row>
    <row r="24" spans="1:51" ht="7.5" customHeight="1">
      <c r="A24" s="156"/>
      <c r="B24" s="156"/>
      <c r="C24" s="156"/>
      <c r="D24" s="156"/>
      <c r="E24" s="156"/>
      <c r="F24" s="156"/>
      <c r="G24" s="156"/>
      <c r="H24" s="156"/>
      <c r="I24" s="156"/>
      <c r="J24" s="68"/>
      <c r="K24" s="156"/>
    </row>
    <row r="25" spans="1:51" ht="27" customHeight="1">
      <c r="A25" s="234" t="str">
        <f>txt!B213</f>
        <v>Beispiel: Enterprise Ressource Planning (ERP)-Lösung für Kunde y.</v>
      </c>
      <c r="B25" s="156"/>
      <c r="C25" s="348" t="str">
        <f>txt!B169</f>
        <v>Die Preise sind ohne Mehrwertsteuer anzugeben.</v>
      </c>
      <c r="D25" s="348"/>
      <c r="E25" s="348"/>
      <c r="F25" s="348"/>
      <c r="G25" s="156"/>
      <c r="H25" s="156"/>
      <c r="I25" s="156"/>
      <c r="J25" s="68"/>
      <c r="K25" s="156"/>
    </row>
    <row r="26" spans="1:51" ht="7.5" customHeight="1">
      <c r="A26" s="156"/>
      <c r="B26" s="156"/>
      <c r="C26" s="156"/>
      <c r="D26" s="156"/>
      <c r="E26" s="156"/>
      <c r="F26" s="156"/>
      <c r="G26" s="156"/>
      <c r="H26" s="156"/>
      <c r="I26" s="156"/>
      <c r="J26" s="68"/>
      <c r="K26" s="156"/>
    </row>
    <row r="27" spans="1:51" ht="40.5" customHeight="1">
      <c r="A27" s="234" t="str">
        <f>txt!B124</f>
        <v>Der Kundenidentifikator (Auftragsnummer, Kundennummer etc.) dient Ihnen ausschliesslich zur Identifizierung des Auftrags im Folgejahr. Sie können aus Sicherheitsgründen diese Nummer anonymisieren.</v>
      </c>
      <c r="B27" s="156"/>
      <c r="C27" s="348" t="str">
        <f>txt!B192</f>
        <v>Unit-Nettopreis: (Pauschale + Unit-Preis * effektiv bezogene Leistung - allfällige Rabatte) / effektiv bezogene Leistung.</v>
      </c>
      <c r="D27" s="348"/>
      <c r="E27" s="348"/>
      <c r="F27" s="348"/>
      <c r="G27" s="156"/>
      <c r="H27" s="156"/>
      <c r="I27" s="156"/>
      <c r="J27" s="68"/>
      <c r="K27" s="156"/>
    </row>
    <row r="28" spans="1:51" ht="13.5" customHeight="1">
      <c r="A28" s="156"/>
      <c r="B28" s="156"/>
      <c r="C28" s="156"/>
      <c r="D28" s="156"/>
      <c r="E28" s="156"/>
      <c r="F28" s="156"/>
      <c r="G28" s="156"/>
      <c r="H28" s="156"/>
      <c r="I28" s="156"/>
      <c r="J28" s="68"/>
      <c r="K28" s="156"/>
    </row>
    <row r="29" spans="1:51" ht="20.100000000000001" customHeight="1">
      <c r="A29" s="234" t="str">
        <f>txt!B125</f>
        <v>Bitte geben Sie den Preis bei Vertragsabschluss an.</v>
      </c>
      <c r="B29" s="187"/>
      <c r="C29" s="187"/>
      <c r="D29" s="187"/>
      <c r="E29" s="187"/>
      <c r="F29" s="187"/>
      <c r="G29" s="187"/>
      <c r="H29" s="187"/>
      <c r="I29" s="187"/>
      <c r="J29" s="68"/>
      <c r="K29" s="187"/>
      <c r="AV29" s="50"/>
      <c r="AW29" s="50"/>
      <c r="AX29" s="50"/>
      <c r="AY29" s="50"/>
    </row>
    <row r="30" spans="1:51" ht="13.5" customHeight="1">
      <c r="A30" s="187"/>
      <c r="B30" s="187"/>
      <c r="C30" s="187"/>
      <c r="D30" s="187"/>
      <c r="E30" s="187"/>
      <c r="F30" s="187"/>
      <c r="G30" s="187"/>
      <c r="H30" s="187"/>
      <c r="I30" s="187"/>
      <c r="J30" s="68"/>
      <c r="K30" s="187"/>
    </row>
    <row r="31" spans="1:51" ht="13.5" customHeight="1">
      <c r="A31" s="157" t="str">
        <f>txt!B173&amp;":"</f>
        <v>Bemerkungen:</v>
      </c>
      <c r="B31" s="111"/>
      <c r="C31" s="111"/>
      <c r="D31" s="111"/>
      <c r="E31" s="111"/>
      <c r="F31" s="111"/>
      <c r="G31" s="111"/>
      <c r="H31" s="111"/>
      <c r="I31" s="111"/>
      <c r="J31" s="80"/>
      <c r="K31" s="111"/>
    </row>
    <row r="32" spans="1:51" ht="54" customHeight="1">
      <c r="A32" s="367"/>
      <c r="B32" s="368"/>
      <c r="C32" s="368"/>
      <c r="D32" s="368"/>
      <c r="E32" s="368"/>
      <c r="F32" s="368"/>
      <c r="G32" s="368"/>
      <c r="H32" s="368"/>
      <c r="I32" s="368"/>
      <c r="J32" s="368"/>
      <c r="K32" s="369"/>
    </row>
    <row r="33" spans="1:11" ht="13.5" customHeight="1">
      <c r="A33" s="50"/>
      <c r="B33" s="50"/>
      <c r="C33" s="50"/>
      <c r="D33" s="50"/>
      <c r="E33" s="50"/>
      <c r="F33" s="50"/>
      <c r="G33" s="50"/>
      <c r="H33" s="50"/>
      <c r="I33" s="50"/>
      <c r="J33" s="50"/>
      <c r="K33" s="50"/>
    </row>
    <row r="34" spans="1:11" ht="13.5" customHeight="1">
      <c r="A34" s="78">
        <f>Steuerung!E49</f>
        <v>0</v>
      </c>
      <c r="B34" s="50"/>
      <c r="C34" s="268" t="str">
        <f>txt!$B$221</f>
        <v>ZURÜCK</v>
      </c>
      <c r="D34" s="181"/>
      <c r="E34" s="181"/>
      <c r="F34" s="181"/>
      <c r="G34" s="50"/>
      <c r="H34" s="269" t="str">
        <f>IF($A$17="","",IF($C$17="","",IF($E$17="","",IF($F$17="","",IF(A34=1,txt!B222,"")))))</f>
        <v/>
      </c>
      <c r="I34" s="112"/>
      <c r="J34" s="50"/>
      <c r="K34" s="50"/>
    </row>
    <row r="35" spans="1:11" ht="13.5" customHeight="1">
      <c r="A35" s="78"/>
      <c r="B35" s="50"/>
      <c r="C35" s="181"/>
      <c r="D35" s="181"/>
      <c r="E35" s="181"/>
      <c r="F35" s="181"/>
      <c r="G35" s="50"/>
      <c r="H35" s="62"/>
      <c r="I35" s="112"/>
      <c r="J35" s="50"/>
      <c r="K35" s="50"/>
    </row>
    <row r="36" spans="1:11" ht="13.5" customHeight="1">
      <c r="A36" s="78">
        <f>Steuerung!H$49</f>
        <v>1</v>
      </c>
      <c r="B36" s="50"/>
      <c r="C36" s="50"/>
      <c r="D36" s="50"/>
      <c r="E36" s="50"/>
      <c r="F36" s="50"/>
      <c r="G36" s="50"/>
      <c r="H36" s="274" t="str">
        <f>IF($A$17="","",IF($E$17="","",IF($C$17="","",IF($F$17="","",IF(AND(A34=0,A36=1),txt!B222,"")))))</f>
        <v/>
      </c>
      <c r="I36" s="62"/>
      <c r="J36" s="50"/>
      <c r="K36" s="50"/>
    </row>
    <row r="37" spans="1:11" ht="13.5" customHeight="1">
      <c r="A37" s="63"/>
      <c r="B37" s="63"/>
      <c r="C37" s="63"/>
      <c r="D37" s="63"/>
      <c r="E37" s="63"/>
      <c r="F37" s="50"/>
      <c r="G37" s="50"/>
      <c r="H37" s="50"/>
      <c r="I37" s="50"/>
      <c r="J37" s="50"/>
      <c r="K37" s="50"/>
    </row>
    <row r="38" spans="1:11" ht="13.5" customHeight="1">
      <c r="A38" s="63"/>
      <c r="B38" s="63"/>
      <c r="C38" s="63"/>
      <c r="D38" s="63"/>
      <c r="E38" s="63"/>
      <c r="F38" s="50"/>
      <c r="G38" s="50"/>
      <c r="H38" s="50"/>
      <c r="I38" s="50"/>
      <c r="J38" s="50"/>
      <c r="K38" s="50"/>
    </row>
    <row r="39" spans="1:11" ht="13.5" customHeight="1">
      <c r="A39" s="63"/>
      <c r="B39" s="63"/>
      <c r="C39" s="63"/>
      <c r="D39" s="63"/>
      <c r="E39" s="63"/>
      <c r="F39" s="50"/>
      <c r="G39" s="50"/>
      <c r="H39" s="50"/>
      <c r="I39" s="50"/>
      <c r="J39" s="50"/>
      <c r="K39" s="50"/>
    </row>
    <row r="40" spans="1:11" ht="13.5" customHeight="1">
      <c r="A40" s="63"/>
      <c r="B40" s="63"/>
      <c r="C40" s="63"/>
      <c r="D40" s="63"/>
      <c r="E40" s="63"/>
      <c r="F40" s="50"/>
      <c r="G40" s="50"/>
      <c r="H40" s="50"/>
      <c r="I40" s="50"/>
      <c r="J40" s="50"/>
      <c r="K40" s="50"/>
    </row>
    <row r="41" spans="1:11">
      <c r="A41" s="50"/>
      <c r="B41" s="50"/>
      <c r="C41" s="50"/>
      <c r="D41" s="50"/>
      <c r="E41" s="50"/>
      <c r="F41" s="50"/>
      <c r="G41" s="50"/>
      <c r="H41" s="50"/>
      <c r="I41" s="50"/>
      <c r="J41" s="50"/>
      <c r="K41" s="50"/>
    </row>
    <row r="42" spans="1:11">
      <c r="A42" s="50"/>
      <c r="B42" s="50"/>
      <c r="C42" s="50"/>
      <c r="D42" s="50"/>
      <c r="E42" s="50"/>
      <c r="F42" s="50"/>
      <c r="G42" s="50"/>
      <c r="H42" s="50"/>
      <c r="I42" s="50"/>
      <c r="J42" s="50"/>
      <c r="K42" s="50"/>
    </row>
    <row r="43" spans="1:11">
      <c r="A43" s="50"/>
      <c r="B43" s="50"/>
      <c r="C43" s="50"/>
      <c r="D43" s="50"/>
      <c r="E43" s="50"/>
      <c r="F43" s="50"/>
      <c r="G43" s="50"/>
      <c r="H43" s="50"/>
      <c r="I43" s="50"/>
      <c r="J43" s="50"/>
      <c r="K43" s="50"/>
    </row>
    <row r="44" spans="1:11" ht="12.95" customHeight="1">
      <c r="A44" s="50"/>
      <c r="B44" s="50"/>
      <c r="C44" s="50"/>
      <c r="D44" s="50"/>
      <c r="E44" s="50"/>
      <c r="F44" s="50"/>
      <c r="G44" s="50"/>
      <c r="H44" s="50"/>
      <c r="I44" s="50"/>
      <c r="J44" s="50"/>
      <c r="K44" s="50"/>
    </row>
    <row r="45" spans="1:11">
      <c r="A45" s="50"/>
      <c r="B45" s="50"/>
      <c r="C45" s="50"/>
      <c r="D45" s="50"/>
      <c r="E45" s="50"/>
      <c r="F45" s="50"/>
      <c r="G45" s="50"/>
      <c r="H45" s="50"/>
      <c r="I45" s="50"/>
      <c r="J45" s="50"/>
      <c r="K45" s="50"/>
    </row>
    <row r="46" spans="1:11">
      <c r="A46" s="50"/>
      <c r="B46" s="50"/>
      <c r="C46" s="50"/>
      <c r="D46" s="50"/>
      <c r="E46" s="50"/>
      <c r="F46" s="50"/>
      <c r="G46" s="50"/>
      <c r="H46" s="50"/>
      <c r="I46" s="50"/>
      <c r="J46" s="50"/>
      <c r="K46" s="50"/>
    </row>
    <row r="47" spans="1:11">
      <c r="A47" s="50"/>
      <c r="B47" s="50"/>
      <c r="C47" s="50"/>
      <c r="D47" s="50"/>
      <c r="E47" s="50"/>
      <c r="F47" s="50"/>
      <c r="G47" s="50"/>
      <c r="H47" s="50"/>
      <c r="I47" s="50"/>
      <c r="J47" s="50"/>
      <c r="K47" s="50"/>
    </row>
    <row r="48" spans="1:11">
      <c r="A48" s="50"/>
      <c r="B48" s="50"/>
      <c r="C48" s="50"/>
      <c r="D48" s="50"/>
      <c r="E48" s="50"/>
      <c r="F48" s="50"/>
      <c r="G48" s="50"/>
      <c r="H48" s="50"/>
      <c r="I48" s="50"/>
      <c r="J48" s="50"/>
      <c r="K48" s="50"/>
    </row>
    <row r="49" spans="1:11">
      <c r="A49" s="50"/>
      <c r="B49" s="50"/>
      <c r="C49" s="50"/>
      <c r="D49" s="50"/>
      <c r="E49" s="50"/>
      <c r="F49" s="50"/>
      <c r="G49" s="50"/>
      <c r="H49" s="50"/>
      <c r="I49" s="50"/>
      <c r="J49" s="50"/>
      <c r="K49" s="50"/>
    </row>
    <row r="50" spans="1:11">
      <c r="A50" s="50"/>
      <c r="B50" s="50"/>
      <c r="C50" s="50"/>
      <c r="D50" s="50"/>
      <c r="E50" s="50"/>
      <c r="F50" s="50"/>
      <c r="G50" s="50"/>
      <c r="H50" s="50"/>
      <c r="I50" s="50"/>
      <c r="J50" s="50"/>
      <c r="K50" s="50"/>
    </row>
    <row r="51" spans="1:11">
      <c r="A51" s="50"/>
      <c r="B51" s="50"/>
      <c r="C51" s="50"/>
      <c r="D51" s="50"/>
      <c r="E51" s="50"/>
      <c r="F51" s="50"/>
      <c r="G51" s="50"/>
      <c r="H51" s="50"/>
      <c r="I51" s="50"/>
      <c r="J51" s="50"/>
      <c r="K51" s="50"/>
    </row>
    <row r="52" spans="1:11">
      <c r="A52" s="50"/>
      <c r="B52" s="50"/>
      <c r="C52" s="50"/>
      <c r="D52" s="50"/>
      <c r="E52" s="50"/>
      <c r="F52" s="50"/>
      <c r="G52" s="50"/>
      <c r="H52" s="50"/>
      <c r="I52" s="50"/>
      <c r="J52" s="50"/>
      <c r="K52" s="50"/>
    </row>
    <row r="53" spans="1:11">
      <c r="A53" s="50"/>
      <c r="B53" s="50"/>
      <c r="C53" s="50"/>
      <c r="D53" s="50"/>
      <c r="E53" s="50"/>
      <c r="F53" s="50"/>
      <c r="G53" s="50"/>
      <c r="H53" s="50"/>
      <c r="I53" s="50"/>
      <c r="J53" s="50"/>
      <c r="K53" s="50"/>
    </row>
    <row r="54" spans="1:11">
      <c r="A54" s="50"/>
      <c r="B54" s="50"/>
      <c r="C54" s="50"/>
      <c r="D54" s="50"/>
      <c r="E54" s="50"/>
      <c r="F54" s="50"/>
      <c r="G54" s="50"/>
      <c r="H54" s="50"/>
      <c r="I54" s="50"/>
      <c r="J54" s="50"/>
      <c r="K54" s="50"/>
    </row>
    <row r="55" spans="1:11">
      <c r="A55" s="50"/>
      <c r="B55" s="50"/>
      <c r="C55" s="50"/>
      <c r="D55" s="50"/>
      <c r="E55" s="50"/>
      <c r="F55" s="50"/>
      <c r="G55" s="50"/>
      <c r="H55" s="50"/>
      <c r="I55" s="50"/>
      <c r="J55" s="50"/>
      <c r="K55" s="50"/>
    </row>
    <row r="56" spans="1:11">
      <c r="A56" s="50"/>
      <c r="B56" s="50"/>
      <c r="C56" s="50"/>
      <c r="D56" s="50"/>
      <c r="E56" s="50"/>
      <c r="F56" s="50"/>
      <c r="G56" s="50"/>
      <c r="H56" s="50"/>
      <c r="I56" s="50"/>
      <c r="J56" s="50"/>
      <c r="K56" s="50"/>
    </row>
    <row r="57" spans="1:11">
      <c r="A57" s="50"/>
      <c r="B57" s="50"/>
      <c r="C57" s="50"/>
      <c r="D57" s="50"/>
      <c r="E57" s="50"/>
      <c r="F57" s="50"/>
      <c r="G57" s="50"/>
      <c r="H57" s="50"/>
      <c r="I57" s="50"/>
      <c r="J57" s="50"/>
      <c r="K57" s="50"/>
    </row>
    <row r="58" spans="1:11">
      <c r="A58" s="50"/>
      <c r="B58" s="50"/>
      <c r="C58" s="50"/>
      <c r="D58" s="50"/>
      <c r="E58" s="50"/>
      <c r="F58" s="50"/>
      <c r="G58" s="50"/>
      <c r="H58" s="50"/>
      <c r="I58" s="50"/>
      <c r="J58" s="50"/>
      <c r="K58" s="50"/>
    </row>
    <row r="59" spans="1:11">
      <c r="A59" s="50"/>
      <c r="B59" s="50"/>
      <c r="C59" s="50"/>
      <c r="D59" s="50"/>
      <c r="E59" s="50"/>
      <c r="F59" s="50"/>
      <c r="G59" s="50"/>
      <c r="H59" s="50"/>
      <c r="I59" s="50"/>
      <c r="J59" s="50"/>
      <c r="K59" s="50"/>
    </row>
    <row r="60" spans="1:11">
      <c r="A60" s="50"/>
      <c r="B60" s="50"/>
      <c r="C60" s="50"/>
      <c r="D60" s="50"/>
      <c r="E60" s="50"/>
      <c r="F60" s="50"/>
      <c r="G60" s="50"/>
      <c r="H60" s="50"/>
      <c r="I60" s="50"/>
      <c r="J60" s="50"/>
      <c r="K60" s="50"/>
    </row>
    <row r="61" spans="1:11">
      <c r="A61" s="50"/>
      <c r="B61" s="50"/>
      <c r="C61" s="50"/>
      <c r="D61" s="50"/>
      <c r="E61" s="50"/>
      <c r="F61" s="50"/>
      <c r="G61" s="50"/>
      <c r="H61" s="50"/>
      <c r="I61" s="50"/>
      <c r="J61" s="50"/>
      <c r="K61" s="50"/>
    </row>
    <row r="62" spans="1:11">
      <c r="A62" s="50"/>
      <c r="B62" s="50"/>
      <c r="C62" s="50"/>
      <c r="D62" s="50"/>
      <c r="E62" s="50"/>
      <c r="F62" s="50"/>
      <c r="G62" s="50"/>
      <c r="H62" s="50"/>
      <c r="I62" s="50"/>
      <c r="J62" s="50"/>
      <c r="K62" s="50"/>
    </row>
    <row r="63" spans="1:11">
      <c r="A63" s="50"/>
      <c r="B63" s="50"/>
      <c r="C63" s="50"/>
      <c r="D63" s="50"/>
      <c r="E63" s="50"/>
      <c r="F63" s="50"/>
      <c r="G63" s="50"/>
      <c r="H63" s="50"/>
      <c r="I63" s="50"/>
      <c r="J63" s="50"/>
      <c r="K63" s="50"/>
    </row>
    <row r="64" spans="1:11">
      <c r="A64" s="50"/>
      <c r="B64" s="50"/>
      <c r="C64" s="50"/>
      <c r="D64" s="50"/>
      <c r="E64" s="50"/>
      <c r="F64" s="50"/>
      <c r="G64" s="50"/>
      <c r="H64" s="50"/>
      <c r="I64" s="50"/>
      <c r="J64" s="50"/>
      <c r="K64" s="50"/>
    </row>
    <row r="65" spans="1:11">
      <c r="A65" s="50"/>
      <c r="B65" s="50"/>
      <c r="C65" s="50"/>
      <c r="D65" s="50"/>
      <c r="E65" s="50"/>
      <c r="F65" s="50"/>
      <c r="G65" s="50"/>
      <c r="H65" s="50"/>
      <c r="I65" s="50"/>
      <c r="J65" s="50"/>
      <c r="K65" s="50"/>
    </row>
    <row r="66" spans="1:11">
      <c r="A66" s="50"/>
      <c r="B66" s="50"/>
      <c r="C66" s="50"/>
      <c r="D66" s="50"/>
      <c r="E66" s="50"/>
      <c r="F66" s="50"/>
      <c r="G66" s="50"/>
      <c r="H66" s="50"/>
      <c r="I66" s="50"/>
      <c r="J66" s="50"/>
      <c r="K66" s="50"/>
    </row>
    <row r="67" spans="1:11">
      <c r="A67" s="50"/>
      <c r="B67" s="50"/>
      <c r="C67" s="50"/>
      <c r="D67" s="50"/>
      <c r="E67" s="50"/>
      <c r="F67" s="50"/>
      <c r="G67" s="50"/>
      <c r="H67" s="50"/>
      <c r="I67" s="50"/>
      <c r="J67" s="50"/>
      <c r="K67" s="50"/>
    </row>
    <row r="68" spans="1:11">
      <c r="A68" s="50"/>
      <c r="B68" s="50"/>
      <c r="C68" s="50"/>
      <c r="D68" s="50"/>
      <c r="E68" s="50"/>
      <c r="F68" s="50"/>
      <c r="G68" s="50"/>
      <c r="H68" s="50"/>
      <c r="I68" s="50"/>
      <c r="J68" s="50"/>
      <c r="K68" s="50"/>
    </row>
    <row r="69" spans="1:11">
      <c r="A69" s="50"/>
      <c r="B69" s="50"/>
      <c r="C69" s="50"/>
      <c r="D69" s="50"/>
      <c r="E69" s="50"/>
      <c r="F69" s="50"/>
      <c r="G69" s="50"/>
      <c r="H69" s="50"/>
      <c r="I69" s="50"/>
      <c r="J69" s="50"/>
      <c r="K69" s="50"/>
    </row>
    <row r="70" spans="1:11">
      <c r="A70" s="50"/>
      <c r="B70" s="50"/>
      <c r="C70" s="50"/>
      <c r="D70" s="50"/>
      <c r="E70" s="50"/>
      <c r="F70" s="50"/>
      <c r="G70" s="50"/>
      <c r="H70" s="50"/>
      <c r="I70" s="50"/>
      <c r="J70" s="50"/>
      <c r="K70" s="50"/>
    </row>
    <row r="71" spans="1:11">
      <c r="A71" s="50"/>
      <c r="B71" s="50"/>
      <c r="C71" s="50"/>
      <c r="D71" s="50"/>
      <c r="E71" s="50"/>
      <c r="F71" s="50"/>
      <c r="G71" s="50"/>
      <c r="H71" s="50"/>
      <c r="I71" s="50"/>
      <c r="J71" s="50"/>
      <c r="K71" s="50"/>
    </row>
    <row r="72" spans="1:11">
      <c r="A72" s="50"/>
      <c r="B72" s="50"/>
      <c r="C72" s="50"/>
      <c r="D72" s="50"/>
      <c r="E72" s="50"/>
      <c r="F72" s="50"/>
      <c r="G72" s="50"/>
      <c r="H72" s="50"/>
      <c r="I72" s="50"/>
      <c r="J72" s="50"/>
      <c r="K72" s="50"/>
    </row>
    <row r="73" spans="1:11">
      <c r="A73" s="50"/>
      <c r="B73" s="50"/>
      <c r="C73" s="50"/>
      <c r="D73" s="50"/>
      <c r="E73" s="50"/>
      <c r="F73" s="50"/>
      <c r="G73" s="50"/>
      <c r="H73" s="50"/>
      <c r="I73" s="50"/>
      <c r="J73" s="50"/>
      <c r="K73" s="50"/>
    </row>
    <row r="74" spans="1:11">
      <c r="A74" s="50"/>
      <c r="B74" s="50"/>
      <c r="C74" s="50"/>
      <c r="D74" s="50"/>
      <c r="E74" s="50"/>
      <c r="F74" s="50"/>
      <c r="G74" s="50"/>
      <c r="H74" s="50"/>
      <c r="I74" s="50"/>
      <c r="J74" s="50"/>
      <c r="K74" s="50"/>
    </row>
    <row r="75" spans="1:11">
      <c r="A75" s="50"/>
      <c r="B75" s="50"/>
      <c r="C75" s="50"/>
      <c r="D75" s="50"/>
      <c r="E75" s="50"/>
      <c r="F75" s="50"/>
      <c r="G75" s="50"/>
      <c r="H75" s="50"/>
      <c r="I75" s="50"/>
      <c r="J75" s="50"/>
      <c r="K75" s="50"/>
    </row>
    <row r="76" spans="1:11">
      <c r="A76" s="50"/>
      <c r="B76" s="50"/>
      <c r="C76" s="50"/>
      <c r="D76" s="50"/>
      <c r="E76" s="50"/>
      <c r="F76" s="50"/>
      <c r="G76" s="50"/>
      <c r="H76" s="50"/>
      <c r="I76" s="50"/>
      <c r="J76" s="50"/>
      <c r="K76" s="50"/>
    </row>
    <row r="77" spans="1:11">
      <c r="A77" s="50"/>
      <c r="B77" s="50"/>
      <c r="C77" s="50"/>
      <c r="D77" s="50"/>
      <c r="E77" s="50"/>
      <c r="F77" s="50"/>
      <c r="G77" s="50"/>
      <c r="H77" s="50"/>
      <c r="I77" s="50"/>
      <c r="J77" s="50"/>
      <c r="K77" s="50"/>
    </row>
    <row r="78" spans="1:11">
      <c r="A78" s="50"/>
      <c r="B78" s="50"/>
      <c r="C78" s="50"/>
      <c r="D78" s="50"/>
      <c r="E78" s="50"/>
      <c r="F78" s="50"/>
      <c r="G78" s="50"/>
      <c r="H78" s="50"/>
      <c r="I78" s="50"/>
      <c r="J78" s="50"/>
      <c r="K78" s="50"/>
    </row>
    <row r="79" spans="1:11">
      <c r="A79" s="50"/>
      <c r="B79" s="50"/>
      <c r="C79" s="50"/>
      <c r="D79" s="50"/>
      <c r="E79" s="50"/>
      <c r="F79" s="50"/>
      <c r="G79" s="50"/>
      <c r="H79" s="50"/>
      <c r="I79" s="50"/>
      <c r="J79" s="50"/>
      <c r="K79" s="50"/>
    </row>
    <row r="80" spans="1:11">
      <c r="A80" s="50"/>
      <c r="B80" s="50"/>
      <c r="C80" s="50"/>
      <c r="D80" s="50"/>
      <c r="E80" s="50"/>
      <c r="F80" s="50"/>
      <c r="G80" s="50"/>
      <c r="H80" s="50"/>
      <c r="I80" s="50"/>
      <c r="J80" s="50"/>
      <c r="K80" s="50"/>
    </row>
    <row r="81" spans="1:11">
      <c r="A81" s="50"/>
      <c r="B81" s="50"/>
      <c r="C81" s="50"/>
      <c r="D81" s="50"/>
      <c r="E81" s="50"/>
      <c r="F81" s="50"/>
      <c r="G81" s="50"/>
      <c r="H81" s="50"/>
      <c r="I81" s="50"/>
      <c r="J81" s="50"/>
      <c r="K81" s="50"/>
    </row>
    <row r="82" spans="1:11">
      <c r="A82" s="50"/>
      <c r="B82" s="50"/>
      <c r="C82" s="50"/>
      <c r="D82" s="50"/>
      <c r="E82" s="50"/>
      <c r="F82" s="50"/>
      <c r="G82" s="50"/>
      <c r="H82" s="50"/>
      <c r="I82" s="50"/>
      <c r="J82" s="50"/>
      <c r="K82" s="50"/>
    </row>
    <row r="83" spans="1:11">
      <c r="A83" s="50"/>
      <c r="B83" s="50"/>
      <c r="C83" s="50"/>
      <c r="D83" s="50"/>
      <c r="E83" s="50"/>
      <c r="F83" s="50"/>
      <c r="G83" s="50"/>
      <c r="H83" s="50"/>
      <c r="I83" s="50"/>
      <c r="J83" s="50"/>
      <c r="K83" s="50"/>
    </row>
    <row r="84" spans="1:11">
      <c r="A84" s="50"/>
      <c r="B84" s="50"/>
      <c r="C84" s="50"/>
      <c r="D84" s="50"/>
      <c r="E84" s="50"/>
      <c r="F84" s="50"/>
      <c r="G84" s="50"/>
      <c r="H84" s="50"/>
      <c r="I84" s="50"/>
      <c r="J84" s="50"/>
      <c r="K84" s="50"/>
    </row>
    <row r="85" spans="1:11">
      <c r="A85" s="50"/>
      <c r="B85" s="50"/>
      <c r="C85" s="50"/>
      <c r="D85" s="50"/>
      <c r="E85" s="50"/>
      <c r="F85" s="50"/>
      <c r="G85" s="50"/>
      <c r="H85" s="50"/>
      <c r="I85" s="50"/>
      <c r="J85" s="50"/>
      <c r="K85" s="50"/>
    </row>
    <row r="86" spans="1:11">
      <c r="A86" s="50"/>
      <c r="B86" s="50"/>
      <c r="C86" s="50"/>
      <c r="D86" s="50"/>
      <c r="E86" s="50"/>
      <c r="F86" s="50"/>
      <c r="G86" s="50"/>
      <c r="H86" s="50"/>
      <c r="I86" s="50"/>
      <c r="J86" s="50"/>
      <c r="K86" s="50"/>
    </row>
    <row r="87" spans="1:11">
      <c r="A87" s="50"/>
      <c r="B87" s="50"/>
      <c r="C87" s="50"/>
      <c r="D87" s="50"/>
      <c r="E87" s="50"/>
      <c r="F87" s="50"/>
      <c r="G87" s="50"/>
      <c r="H87" s="50"/>
      <c r="I87" s="50"/>
      <c r="J87" s="50"/>
      <c r="K87" s="50"/>
    </row>
    <row r="88" spans="1:11">
      <c r="A88" s="50"/>
      <c r="B88" s="50"/>
      <c r="C88" s="50"/>
      <c r="D88" s="50"/>
      <c r="E88" s="50"/>
      <c r="F88" s="50"/>
      <c r="G88" s="50"/>
      <c r="H88" s="50"/>
      <c r="I88" s="50"/>
      <c r="J88" s="50"/>
      <c r="K88" s="50"/>
    </row>
    <row r="89" spans="1:11">
      <c r="A89" s="50"/>
      <c r="B89" s="50"/>
      <c r="C89" s="50"/>
      <c r="D89" s="50"/>
      <c r="E89" s="50"/>
      <c r="F89" s="50"/>
      <c r="G89" s="50"/>
      <c r="H89" s="50"/>
      <c r="I89" s="50"/>
      <c r="J89" s="50"/>
      <c r="K89" s="50"/>
    </row>
    <row r="90" spans="1:11">
      <c r="A90" s="50"/>
      <c r="B90" s="50"/>
      <c r="C90" s="50"/>
      <c r="D90" s="50"/>
      <c r="E90" s="50"/>
      <c r="F90" s="50"/>
      <c r="G90" s="50"/>
      <c r="H90" s="50"/>
      <c r="I90" s="50"/>
      <c r="J90" s="50"/>
      <c r="K90" s="50"/>
    </row>
    <row r="91" spans="1:11">
      <c r="A91" s="50"/>
      <c r="B91" s="50"/>
      <c r="C91" s="50"/>
      <c r="D91" s="50"/>
      <c r="E91" s="50"/>
      <c r="F91" s="50"/>
      <c r="G91" s="50"/>
      <c r="H91" s="50"/>
      <c r="I91" s="50"/>
      <c r="J91" s="50"/>
      <c r="K91" s="50"/>
    </row>
    <row r="92" spans="1:11">
      <c r="A92" s="50"/>
      <c r="B92" s="50"/>
      <c r="C92" s="50"/>
      <c r="D92" s="50"/>
      <c r="E92" s="50"/>
      <c r="F92" s="50"/>
      <c r="G92" s="50"/>
      <c r="H92" s="50"/>
      <c r="I92" s="50"/>
      <c r="J92" s="50"/>
      <c r="K92" s="50"/>
    </row>
    <row r="93" spans="1:11">
      <c r="A93" s="50"/>
      <c r="B93" s="50"/>
      <c r="C93" s="50"/>
      <c r="D93" s="50"/>
      <c r="E93" s="50"/>
      <c r="F93" s="50"/>
      <c r="G93" s="50"/>
      <c r="H93" s="50"/>
      <c r="I93" s="50"/>
      <c r="J93" s="50"/>
      <c r="K93" s="50"/>
    </row>
    <row r="94" spans="1:11">
      <c r="A94" s="50"/>
      <c r="B94" s="50"/>
      <c r="C94" s="50"/>
      <c r="D94" s="50"/>
      <c r="E94" s="50"/>
      <c r="F94" s="50"/>
      <c r="G94" s="50"/>
      <c r="H94" s="50"/>
      <c r="I94" s="50"/>
      <c r="J94" s="50"/>
      <c r="K94" s="50"/>
    </row>
    <row r="95" spans="1:11">
      <c r="A95" s="50"/>
      <c r="B95" s="50"/>
      <c r="C95" s="50"/>
      <c r="D95" s="50"/>
      <c r="E95" s="50"/>
      <c r="F95" s="50"/>
      <c r="G95" s="50"/>
      <c r="H95" s="50"/>
      <c r="I95" s="50"/>
      <c r="J95" s="50"/>
      <c r="K95" s="50"/>
    </row>
    <row r="96" spans="1:11">
      <c r="A96" s="50"/>
      <c r="B96" s="50"/>
      <c r="C96" s="50"/>
      <c r="D96" s="50"/>
      <c r="E96" s="50"/>
      <c r="F96" s="50"/>
      <c r="G96" s="50"/>
      <c r="H96" s="50"/>
      <c r="I96" s="50"/>
      <c r="J96" s="50"/>
      <c r="K96" s="50"/>
    </row>
    <row r="97" spans="1:11">
      <c r="A97" s="50"/>
      <c r="B97" s="50"/>
      <c r="C97" s="50"/>
      <c r="D97" s="50"/>
      <c r="E97" s="50"/>
      <c r="F97" s="50"/>
      <c r="G97" s="50"/>
      <c r="H97" s="50"/>
      <c r="I97" s="50"/>
      <c r="J97" s="50"/>
      <c r="K97" s="50"/>
    </row>
    <row r="98" spans="1:11">
      <c r="A98" s="50"/>
      <c r="B98" s="50"/>
      <c r="C98" s="50"/>
      <c r="D98" s="50"/>
      <c r="E98" s="50"/>
      <c r="F98" s="50"/>
      <c r="G98" s="50"/>
      <c r="H98" s="50"/>
      <c r="I98" s="50"/>
      <c r="J98" s="50"/>
      <c r="K98" s="50"/>
    </row>
    <row r="99" spans="1:11">
      <c r="A99" s="50"/>
      <c r="B99" s="50"/>
      <c r="C99" s="50"/>
      <c r="D99" s="50"/>
      <c r="E99" s="50"/>
      <c r="F99" s="50"/>
      <c r="G99" s="50"/>
      <c r="H99" s="50"/>
      <c r="I99" s="50"/>
      <c r="J99" s="50"/>
      <c r="K99" s="50"/>
    </row>
    <row r="100" spans="1:11">
      <c r="A100" s="50"/>
      <c r="B100" s="50"/>
      <c r="C100" s="50"/>
      <c r="D100" s="50"/>
      <c r="E100" s="50"/>
      <c r="F100" s="50"/>
      <c r="G100" s="50"/>
      <c r="H100" s="50"/>
      <c r="I100" s="50"/>
      <c r="J100" s="50"/>
      <c r="K100" s="50"/>
    </row>
    <row r="101" spans="1:11">
      <c r="A101" s="50"/>
      <c r="B101" s="50"/>
      <c r="C101" s="50"/>
      <c r="D101" s="50"/>
      <c r="E101" s="50"/>
      <c r="F101" s="50"/>
      <c r="G101" s="50"/>
      <c r="H101" s="50"/>
      <c r="I101" s="50"/>
      <c r="J101" s="50"/>
      <c r="K101" s="50"/>
    </row>
    <row r="102" spans="1:11">
      <c r="A102" s="50"/>
      <c r="B102" s="50"/>
      <c r="C102" s="50"/>
      <c r="D102" s="50"/>
      <c r="E102" s="50"/>
      <c r="F102" s="50"/>
      <c r="G102" s="50"/>
      <c r="H102" s="50"/>
      <c r="I102" s="50"/>
      <c r="J102" s="50"/>
      <c r="K102" s="50"/>
    </row>
    <row r="103" spans="1:11">
      <c r="A103" s="50"/>
      <c r="B103" s="50"/>
      <c r="C103" s="50"/>
      <c r="D103" s="50"/>
      <c r="E103" s="50"/>
      <c r="F103" s="50"/>
      <c r="G103" s="50"/>
      <c r="H103" s="50"/>
      <c r="I103" s="50"/>
      <c r="J103" s="50"/>
      <c r="K103" s="50"/>
    </row>
    <row r="104" spans="1:11">
      <c r="A104" s="50"/>
      <c r="B104" s="50"/>
      <c r="C104" s="50"/>
      <c r="D104" s="50"/>
      <c r="E104" s="50"/>
      <c r="F104" s="50"/>
      <c r="G104" s="50"/>
      <c r="H104" s="50"/>
      <c r="I104" s="50"/>
      <c r="J104" s="50"/>
      <c r="K104" s="50"/>
    </row>
    <row r="105" spans="1:11">
      <c r="A105" s="50"/>
      <c r="B105" s="50"/>
      <c r="C105" s="50"/>
      <c r="D105" s="50"/>
      <c r="E105" s="50"/>
      <c r="F105" s="50"/>
      <c r="G105" s="50"/>
      <c r="H105" s="50"/>
      <c r="I105" s="50"/>
      <c r="J105" s="50"/>
      <c r="K105" s="50"/>
    </row>
    <row r="106" spans="1:11">
      <c r="A106" s="50"/>
      <c r="B106" s="50"/>
      <c r="C106" s="50"/>
      <c r="D106" s="50"/>
      <c r="E106" s="50"/>
      <c r="F106" s="50"/>
      <c r="G106" s="50"/>
      <c r="H106" s="50"/>
      <c r="I106" s="50"/>
      <c r="J106" s="50"/>
      <c r="K106" s="50"/>
    </row>
    <row r="107" spans="1:11">
      <c r="A107" s="50"/>
      <c r="B107" s="50"/>
      <c r="C107" s="50"/>
      <c r="D107" s="50"/>
      <c r="E107" s="50"/>
      <c r="F107" s="50"/>
      <c r="G107" s="50"/>
      <c r="H107" s="50"/>
      <c r="I107" s="50"/>
      <c r="J107" s="50"/>
      <c r="K107" s="50"/>
    </row>
    <row r="108" spans="1:11">
      <c r="A108" s="50"/>
      <c r="B108" s="50"/>
      <c r="C108" s="50"/>
      <c r="D108" s="50"/>
      <c r="E108" s="50"/>
      <c r="F108" s="50"/>
      <c r="G108" s="50"/>
      <c r="H108" s="50"/>
      <c r="I108" s="50"/>
      <c r="J108" s="50"/>
      <c r="K108" s="50"/>
    </row>
    <row r="109" spans="1:11">
      <c r="A109" s="50"/>
      <c r="B109" s="50"/>
      <c r="C109" s="50"/>
      <c r="D109" s="50"/>
      <c r="E109" s="50"/>
      <c r="F109" s="50"/>
      <c r="G109" s="50"/>
      <c r="H109" s="50"/>
      <c r="I109" s="50"/>
      <c r="J109" s="50"/>
      <c r="K109" s="50"/>
    </row>
    <row r="110" spans="1:11">
      <c r="A110" s="50"/>
      <c r="B110" s="50"/>
      <c r="C110" s="50"/>
      <c r="D110" s="50"/>
      <c r="E110" s="50"/>
      <c r="F110" s="50"/>
      <c r="G110" s="50"/>
      <c r="H110" s="50"/>
      <c r="I110" s="50"/>
      <c r="J110" s="50"/>
      <c r="K110" s="50"/>
    </row>
    <row r="111" spans="1:11">
      <c r="A111" s="50"/>
      <c r="B111" s="50"/>
      <c r="C111" s="50"/>
      <c r="D111" s="50"/>
      <c r="E111" s="50"/>
      <c r="F111" s="50"/>
      <c r="G111" s="50"/>
      <c r="H111" s="50"/>
      <c r="I111" s="50"/>
      <c r="J111" s="50"/>
      <c r="K111" s="50"/>
    </row>
    <row r="112" spans="1:11">
      <c r="A112" s="50"/>
      <c r="B112" s="50"/>
      <c r="C112" s="50"/>
      <c r="D112" s="50"/>
      <c r="E112" s="50"/>
      <c r="F112" s="50"/>
      <c r="G112" s="50"/>
      <c r="H112" s="50"/>
      <c r="I112" s="50"/>
      <c r="J112" s="50"/>
      <c r="K112" s="50"/>
    </row>
    <row r="113" spans="1:11">
      <c r="A113" s="50"/>
      <c r="B113" s="50"/>
      <c r="C113" s="50"/>
      <c r="D113" s="50"/>
      <c r="E113" s="50"/>
      <c r="F113" s="50"/>
      <c r="G113" s="50"/>
      <c r="H113" s="50"/>
      <c r="I113" s="50"/>
      <c r="J113" s="50"/>
      <c r="K113" s="50"/>
    </row>
    <row r="114" spans="1:11">
      <c r="A114" s="50"/>
      <c r="B114" s="50"/>
      <c r="C114" s="50"/>
      <c r="D114" s="50"/>
      <c r="E114" s="50"/>
      <c r="F114" s="50"/>
      <c r="G114" s="50"/>
      <c r="H114" s="50"/>
      <c r="I114" s="50"/>
      <c r="J114" s="50"/>
      <c r="K114" s="50"/>
    </row>
    <row r="115" spans="1:11">
      <c r="A115" s="50"/>
      <c r="B115" s="50"/>
      <c r="C115" s="50"/>
      <c r="D115" s="50"/>
      <c r="E115" s="50"/>
      <c r="F115" s="50"/>
      <c r="G115" s="50"/>
      <c r="H115" s="50"/>
      <c r="I115" s="50"/>
      <c r="J115" s="50"/>
      <c r="K115" s="50"/>
    </row>
    <row r="116" spans="1:11">
      <c r="A116" s="50"/>
      <c r="B116" s="50"/>
      <c r="C116" s="50"/>
      <c r="D116" s="50"/>
      <c r="E116" s="50"/>
      <c r="F116" s="50"/>
      <c r="G116" s="50"/>
      <c r="H116" s="50"/>
      <c r="I116" s="50"/>
      <c r="J116" s="50"/>
      <c r="K116" s="50"/>
    </row>
    <row r="117" spans="1:11">
      <c r="A117" s="50"/>
      <c r="B117" s="50"/>
      <c r="C117" s="50"/>
      <c r="D117" s="50"/>
      <c r="E117" s="50"/>
      <c r="F117" s="50"/>
      <c r="G117" s="50"/>
      <c r="H117" s="50"/>
      <c r="I117" s="50"/>
      <c r="J117" s="50"/>
      <c r="K117" s="50"/>
    </row>
    <row r="118" spans="1:11">
      <c r="A118" s="50"/>
      <c r="B118" s="50"/>
      <c r="C118" s="50"/>
      <c r="D118" s="50"/>
      <c r="E118" s="50"/>
      <c r="F118" s="50"/>
      <c r="G118" s="50"/>
      <c r="H118" s="50"/>
      <c r="I118" s="50"/>
      <c r="J118" s="50"/>
      <c r="K118" s="50"/>
    </row>
    <row r="119" spans="1:11">
      <c r="A119" s="50"/>
      <c r="B119" s="50"/>
      <c r="C119" s="50"/>
      <c r="D119" s="50"/>
      <c r="E119" s="50"/>
      <c r="F119" s="50"/>
      <c r="G119" s="50"/>
      <c r="H119" s="50"/>
      <c r="I119" s="50"/>
      <c r="J119" s="50"/>
      <c r="K119" s="50"/>
    </row>
    <row r="120" spans="1:11">
      <c r="A120" s="50"/>
      <c r="B120" s="50"/>
      <c r="C120" s="50"/>
      <c r="D120" s="50"/>
      <c r="E120" s="50"/>
      <c r="F120" s="50"/>
      <c r="G120" s="50"/>
      <c r="H120" s="50"/>
      <c r="I120" s="50"/>
      <c r="J120" s="50"/>
      <c r="K120" s="50"/>
    </row>
    <row r="121" spans="1:11">
      <c r="A121" s="50"/>
      <c r="B121" s="50"/>
      <c r="C121" s="50"/>
      <c r="D121" s="50"/>
      <c r="E121" s="50"/>
      <c r="F121" s="50"/>
      <c r="G121" s="50"/>
      <c r="H121" s="50"/>
      <c r="I121" s="50"/>
      <c r="J121" s="50"/>
      <c r="K121" s="50"/>
    </row>
    <row r="122" spans="1:11">
      <c r="A122" s="50"/>
      <c r="B122" s="50"/>
      <c r="C122" s="50"/>
      <c r="D122" s="50"/>
      <c r="E122" s="50"/>
      <c r="F122" s="50"/>
      <c r="G122" s="50"/>
      <c r="H122" s="50"/>
      <c r="I122" s="50"/>
      <c r="J122" s="50"/>
      <c r="K122" s="50"/>
    </row>
    <row r="123" spans="1:11">
      <c r="A123" s="50"/>
      <c r="B123" s="50"/>
      <c r="C123" s="50"/>
      <c r="D123" s="50"/>
      <c r="E123" s="50"/>
      <c r="F123" s="50"/>
      <c r="G123" s="50"/>
      <c r="H123" s="50"/>
      <c r="I123" s="50"/>
      <c r="J123" s="50"/>
      <c r="K123" s="50"/>
    </row>
    <row r="124" spans="1:11">
      <c r="A124" s="50"/>
      <c r="B124" s="50"/>
      <c r="C124" s="50"/>
      <c r="D124" s="50"/>
      <c r="E124" s="50"/>
      <c r="F124" s="50"/>
      <c r="G124" s="50"/>
      <c r="H124" s="50"/>
      <c r="I124" s="50"/>
      <c r="J124" s="50"/>
      <c r="K124" s="50"/>
    </row>
    <row r="125" spans="1:11">
      <c r="A125" s="50"/>
      <c r="B125" s="50"/>
      <c r="C125" s="50"/>
      <c r="D125" s="50"/>
      <c r="E125" s="50"/>
      <c r="F125" s="50"/>
      <c r="G125" s="50"/>
      <c r="H125" s="50"/>
      <c r="I125" s="50"/>
      <c r="J125" s="50"/>
      <c r="K125" s="50"/>
    </row>
    <row r="126" spans="1:11">
      <c r="A126" s="50"/>
      <c r="B126" s="50"/>
      <c r="C126" s="50"/>
      <c r="D126" s="50"/>
      <c r="E126" s="50"/>
      <c r="F126" s="50"/>
      <c r="G126" s="50"/>
      <c r="H126" s="50"/>
      <c r="I126" s="50"/>
      <c r="J126" s="50"/>
      <c r="K126" s="50"/>
    </row>
    <row r="127" spans="1:11">
      <c r="A127" s="50"/>
      <c r="B127" s="50"/>
      <c r="C127" s="50"/>
      <c r="D127" s="50"/>
      <c r="E127" s="50"/>
      <c r="F127" s="50"/>
      <c r="G127" s="50"/>
      <c r="H127" s="50"/>
      <c r="I127" s="50"/>
      <c r="J127" s="50"/>
      <c r="K127" s="50"/>
    </row>
    <row r="128" spans="1:11">
      <c r="A128" s="50"/>
      <c r="B128" s="50"/>
      <c r="C128" s="50"/>
      <c r="D128" s="50"/>
      <c r="E128" s="50"/>
      <c r="F128" s="50"/>
      <c r="G128" s="50"/>
      <c r="H128" s="50"/>
      <c r="I128" s="50"/>
      <c r="J128" s="50"/>
      <c r="K128" s="50"/>
    </row>
    <row r="129" spans="1:11">
      <c r="A129" s="50"/>
      <c r="B129" s="50"/>
      <c r="C129" s="50"/>
      <c r="D129" s="50"/>
      <c r="E129" s="50"/>
      <c r="F129" s="50"/>
      <c r="G129" s="50"/>
      <c r="H129" s="50"/>
      <c r="I129" s="50"/>
      <c r="J129" s="50"/>
      <c r="K129" s="50"/>
    </row>
    <row r="130" spans="1:11">
      <c r="A130" s="50"/>
      <c r="B130" s="50"/>
      <c r="C130" s="50"/>
      <c r="D130" s="50"/>
      <c r="E130" s="50"/>
      <c r="F130" s="50"/>
      <c r="G130" s="50"/>
      <c r="H130" s="50"/>
      <c r="I130" s="50"/>
      <c r="J130" s="50"/>
      <c r="K130" s="50"/>
    </row>
    <row r="131" spans="1:11">
      <c r="A131" s="50"/>
      <c r="B131" s="50"/>
      <c r="C131" s="50"/>
      <c r="D131" s="50"/>
      <c r="E131" s="50"/>
      <c r="F131" s="50"/>
      <c r="G131" s="50"/>
      <c r="H131" s="50"/>
      <c r="I131" s="50"/>
      <c r="J131" s="50"/>
      <c r="K131" s="50"/>
    </row>
    <row r="132" spans="1:11">
      <c r="A132" s="50"/>
      <c r="B132" s="50"/>
      <c r="C132" s="50"/>
      <c r="D132" s="50"/>
      <c r="E132" s="50"/>
      <c r="F132" s="50"/>
      <c r="G132" s="50"/>
      <c r="H132" s="50"/>
      <c r="I132" s="50"/>
      <c r="J132" s="50"/>
      <c r="K132" s="50"/>
    </row>
    <row r="133" spans="1:11">
      <c r="A133" s="50"/>
      <c r="B133" s="50"/>
      <c r="C133" s="50"/>
      <c r="D133" s="50"/>
      <c r="E133" s="50"/>
      <c r="F133" s="50"/>
      <c r="G133" s="50"/>
      <c r="H133" s="50"/>
      <c r="I133" s="50"/>
      <c r="J133" s="50"/>
      <c r="K133" s="50"/>
    </row>
    <row r="134" spans="1:11">
      <c r="A134" s="50"/>
      <c r="B134" s="50"/>
      <c r="C134" s="50"/>
      <c r="D134" s="50"/>
      <c r="E134" s="50"/>
      <c r="F134" s="50"/>
      <c r="G134" s="50"/>
      <c r="H134" s="50"/>
      <c r="I134" s="50"/>
      <c r="J134" s="50"/>
      <c r="K134" s="50"/>
    </row>
    <row r="135" spans="1:11">
      <c r="A135" s="50"/>
      <c r="B135" s="50"/>
      <c r="C135" s="50"/>
      <c r="D135" s="50"/>
      <c r="E135" s="50"/>
      <c r="F135" s="50"/>
      <c r="G135" s="50"/>
      <c r="H135" s="50"/>
      <c r="I135" s="50"/>
      <c r="J135" s="50"/>
      <c r="K135" s="50"/>
    </row>
    <row r="136" spans="1:11">
      <c r="A136" s="50"/>
      <c r="B136" s="50"/>
      <c r="C136" s="50"/>
      <c r="D136" s="50"/>
      <c r="E136" s="50"/>
      <c r="F136" s="50"/>
      <c r="G136" s="50"/>
      <c r="H136" s="50"/>
      <c r="I136" s="50"/>
      <c r="J136" s="50"/>
      <c r="K136" s="50"/>
    </row>
    <row r="137" spans="1:11">
      <c r="A137" s="50"/>
      <c r="B137" s="50"/>
      <c r="C137" s="50"/>
      <c r="D137" s="50"/>
      <c r="E137" s="50"/>
      <c r="F137" s="50"/>
      <c r="G137" s="50"/>
      <c r="H137" s="50"/>
      <c r="I137" s="50"/>
      <c r="J137" s="50"/>
      <c r="K137" s="50"/>
    </row>
    <row r="138" spans="1:11">
      <c r="A138" s="50"/>
      <c r="B138" s="50"/>
      <c r="C138" s="50"/>
      <c r="D138" s="50"/>
      <c r="E138" s="50"/>
      <c r="F138" s="50"/>
      <c r="G138" s="50"/>
      <c r="H138" s="50"/>
      <c r="I138" s="50"/>
      <c r="J138" s="50"/>
      <c r="K138" s="50"/>
    </row>
    <row r="139" spans="1:11">
      <c r="A139" s="50"/>
      <c r="B139" s="50"/>
      <c r="C139" s="50"/>
      <c r="D139" s="50"/>
      <c r="E139" s="50"/>
      <c r="F139" s="50"/>
      <c r="G139" s="50"/>
      <c r="H139" s="50"/>
      <c r="I139" s="50"/>
      <c r="J139" s="50"/>
      <c r="K139" s="50"/>
    </row>
    <row r="140" spans="1:11">
      <c r="A140" s="50"/>
      <c r="B140" s="50"/>
      <c r="C140" s="50"/>
      <c r="D140" s="50"/>
      <c r="E140" s="50"/>
      <c r="F140" s="50"/>
      <c r="G140" s="50"/>
      <c r="H140" s="50"/>
      <c r="I140" s="50"/>
      <c r="J140" s="50"/>
      <c r="K140" s="50"/>
    </row>
    <row r="141" spans="1:11">
      <c r="A141" s="50"/>
      <c r="B141" s="50"/>
      <c r="C141" s="50"/>
      <c r="D141" s="50"/>
      <c r="E141" s="50"/>
      <c r="F141" s="50"/>
      <c r="G141" s="50"/>
      <c r="H141" s="50"/>
      <c r="I141" s="50"/>
      <c r="J141" s="50"/>
      <c r="K141" s="50"/>
    </row>
    <row r="142" spans="1:11">
      <c r="A142" s="50"/>
      <c r="B142" s="50"/>
      <c r="C142" s="50"/>
      <c r="D142" s="50"/>
      <c r="E142" s="50"/>
      <c r="F142" s="50"/>
      <c r="G142" s="50"/>
      <c r="H142" s="50"/>
      <c r="I142" s="50"/>
      <c r="J142" s="50"/>
      <c r="K142" s="50"/>
    </row>
    <row r="143" spans="1:11">
      <c r="A143" s="50"/>
      <c r="B143" s="50"/>
      <c r="C143" s="50"/>
      <c r="D143" s="50"/>
      <c r="E143" s="50"/>
      <c r="F143" s="50"/>
      <c r="G143" s="50"/>
      <c r="H143" s="50"/>
      <c r="I143" s="50"/>
      <c r="J143" s="50"/>
      <c r="K143" s="50"/>
    </row>
    <row r="144" spans="1:11">
      <c r="A144" s="50"/>
      <c r="B144" s="50"/>
      <c r="C144" s="50"/>
      <c r="D144" s="50"/>
      <c r="E144" s="50"/>
      <c r="F144" s="50"/>
      <c r="G144" s="50"/>
      <c r="H144" s="50"/>
      <c r="I144" s="50"/>
      <c r="J144" s="50"/>
      <c r="K144" s="50"/>
    </row>
    <row r="145" spans="1:11">
      <c r="A145" s="50"/>
      <c r="B145" s="50"/>
      <c r="C145" s="50"/>
      <c r="D145" s="50"/>
      <c r="E145" s="50"/>
      <c r="F145" s="50"/>
      <c r="G145" s="50"/>
      <c r="H145" s="50"/>
      <c r="I145" s="50"/>
      <c r="J145" s="50"/>
      <c r="K145" s="50"/>
    </row>
    <row r="146" spans="1:11">
      <c r="A146" s="50"/>
      <c r="B146" s="50"/>
      <c r="C146" s="50"/>
      <c r="D146" s="50"/>
      <c r="E146" s="50"/>
      <c r="F146" s="50"/>
      <c r="G146" s="50"/>
      <c r="H146" s="50"/>
      <c r="I146" s="50"/>
      <c r="J146" s="50"/>
      <c r="K146" s="50"/>
    </row>
    <row r="147" spans="1:11">
      <c r="A147" s="50"/>
      <c r="B147" s="50"/>
      <c r="C147" s="50"/>
      <c r="D147" s="50"/>
      <c r="E147" s="50"/>
      <c r="F147" s="50"/>
      <c r="G147" s="50"/>
      <c r="H147" s="50"/>
      <c r="I147" s="50"/>
      <c r="J147" s="50"/>
      <c r="K147" s="50"/>
    </row>
    <row r="148" spans="1:11">
      <c r="A148" s="50"/>
      <c r="B148" s="50"/>
      <c r="C148" s="50"/>
      <c r="D148" s="50"/>
      <c r="E148" s="50"/>
      <c r="F148" s="50"/>
      <c r="G148" s="50"/>
      <c r="H148" s="50"/>
      <c r="I148" s="50"/>
      <c r="J148" s="50"/>
      <c r="K148" s="50"/>
    </row>
    <row r="149" spans="1:11">
      <c r="A149" s="50"/>
      <c r="B149" s="50"/>
      <c r="C149" s="50"/>
      <c r="D149" s="50"/>
      <c r="E149" s="50"/>
      <c r="F149" s="50"/>
      <c r="G149" s="50"/>
      <c r="H149" s="50"/>
      <c r="I149" s="50"/>
      <c r="J149" s="50"/>
      <c r="K149" s="50"/>
    </row>
    <row r="150" spans="1:11">
      <c r="A150" s="50"/>
      <c r="B150" s="50"/>
      <c r="C150" s="50"/>
      <c r="D150" s="50"/>
      <c r="E150" s="50"/>
      <c r="F150" s="50"/>
      <c r="G150" s="50"/>
      <c r="H150" s="50"/>
      <c r="I150" s="50"/>
      <c r="J150" s="50"/>
      <c r="K150" s="50"/>
    </row>
    <row r="151" spans="1:11">
      <c r="A151" s="50"/>
      <c r="B151" s="50"/>
      <c r="C151" s="50"/>
      <c r="D151" s="50"/>
      <c r="E151" s="50"/>
      <c r="F151" s="50"/>
      <c r="G151" s="50"/>
      <c r="H151" s="50"/>
      <c r="I151" s="50"/>
      <c r="J151" s="50"/>
      <c r="K151" s="50"/>
    </row>
    <row r="152" spans="1:11">
      <c r="A152" s="50"/>
      <c r="B152" s="50"/>
      <c r="C152" s="50"/>
      <c r="D152" s="50"/>
      <c r="E152" s="50"/>
      <c r="F152" s="50"/>
      <c r="G152" s="50"/>
      <c r="H152" s="50"/>
      <c r="I152" s="50"/>
      <c r="J152" s="50"/>
      <c r="K152" s="50"/>
    </row>
    <row r="153" spans="1:11">
      <c r="A153" s="50"/>
      <c r="B153" s="50"/>
      <c r="C153" s="50"/>
      <c r="D153" s="50"/>
      <c r="E153" s="50"/>
      <c r="F153" s="50"/>
      <c r="G153" s="50"/>
      <c r="H153" s="50"/>
      <c r="I153" s="50"/>
      <c r="J153" s="50"/>
      <c r="K153" s="50"/>
    </row>
    <row r="154" spans="1:11">
      <c r="A154" s="50"/>
      <c r="B154" s="50"/>
      <c r="C154" s="50"/>
      <c r="D154" s="50"/>
      <c r="E154" s="50"/>
      <c r="F154" s="50"/>
      <c r="G154" s="50"/>
      <c r="H154" s="50"/>
      <c r="I154" s="50"/>
      <c r="J154" s="50"/>
      <c r="K154" s="50"/>
    </row>
    <row r="155" spans="1:11">
      <c r="A155" s="50"/>
      <c r="B155" s="50"/>
      <c r="C155" s="50"/>
      <c r="D155" s="50"/>
      <c r="E155" s="50"/>
      <c r="F155" s="50"/>
      <c r="G155" s="50"/>
      <c r="H155" s="50"/>
      <c r="I155" s="50"/>
      <c r="J155" s="50"/>
      <c r="K155" s="50"/>
    </row>
    <row r="156" spans="1:11">
      <c r="A156" s="50"/>
      <c r="B156" s="50"/>
      <c r="C156" s="50"/>
      <c r="D156" s="50"/>
      <c r="E156" s="50"/>
      <c r="F156" s="50"/>
      <c r="G156" s="50"/>
      <c r="H156" s="50"/>
      <c r="I156" s="50"/>
      <c r="J156" s="50"/>
      <c r="K156" s="50"/>
    </row>
    <row r="157" spans="1:11">
      <c r="A157" s="50"/>
      <c r="B157" s="50"/>
      <c r="C157" s="50"/>
      <c r="D157" s="50"/>
      <c r="E157" s="50"/>
      <c r="F157" s="50"/>
      <c r="G157" s="50"/>
      <c r="H157" s="50"/>
      <c r="I157" s="50"/>
      <c r="J157" s="50"/>
      <c r="K157" s="50"/>
    </row>
    <row r="158" spans="1:11">
      <c r="A158" s="50"/>
      <c r="B158" s="50"/>
      <c r="C158" s="50"/>
      <c r="D158" s="50"/>
      <c r="E158" s="50"/>
      <c r="F158" s="50"/>
      <c r="G158" s="50"/>
      <c r="H158" s="50"/>
      <c r="I158" s="50"/>
      <c r="J158" s="50"/>
      <c r="K158" s="50"/>
    </row>
    <row r="159" spans="1:11">
      <c r="A159" s="50"/>
      <c r="B159" s="50"/>
      <c r="C159" s="50"/>
      <c r="D159" s="50"/>
      <c r="E159" s="50"/>
      <c r="F159" s="50"/>
      <c r="G159" s="50"/>
      <c r="H159" s="50"/>
      <c r="I159" s="50"/>
      <c r="J159" s="50"/>
      <c r="K159" s="50"/>
    </row>
    <row r="160" spans="1:11">
      <c r="A160" s="50"/>
      <c r="B160" s="50"/>
      <c r="C160" s="50"/>
      <c r="D160" s="50"/>
      <c r="E160" s="50"/>
      <c r="F160" s="50"/>
      <c r="G160" s="50"/>
      <c r="H160" s="50"/>
      <c r="I160" s="50"/>
      <c r="J160" s="50"/>
      <c r="K160" s="50"/>
    </row>
    <row r="161" spans="1:11">
      <c r="A161" s="50"/>
      <c r="B161" s="50"/>
      <c r="C161" s="50"/>
      <c r="D161" s="50"/>
      <c r="E161" s="50"/>
      <c r="F161" s="50"/>
      <c r="G161" s="50"/>
      <c r="H161" s="50"/>
      <c r="I161" s="50"/>
      <c r="J161" s="50"/>
      <c r="K161" s="50"/>
    </row>
    <row r="162" spans="1:11">
      <c r="A162" s="50"/>
      <c r="B162" s="50"/>
      <c r="C162" s="50"/>
      <c r="D162" s="50"/>
      <c r="E162" s="50"/>
      <c r="F162" s="50"/>
      <c r="G162" s="50"/>
      <c r="H162" s="50"/>
      <c r="I162" s="50"/>
      <c r="J162" s="50"/>
      <c r="K162" s="50"/>
    </row>
    <row r="163" spans="1:11">
      <c r="A163" s="50"/>
      <c r="B163" s="50"/>
      <c r="C163" s="50"/>
      <c r="D163" s="50"/>
      <c r="E163" s="50"/>
      <c r="F163" s="50"/>
      <c r="G163" s="50"/>
      <c r="H163" s="50"/>
      <c r="I163" s="50"/>
      <c r="J163" s="50"/>
      <c r="K163" s="50"/>
    </row>
    <row r="164" spans="1:11">
      <c r="A164" s="50"/>
      <c r="B164" s="50"/>
      <c r="C164" s="50"/>
      <c r="D164" s="50"/>
      <c r="E164" s="50"/>
      <c r="F164" s="50"/>
      <c r="G164" s="50"/>
      <c r="H164" s="50"/>
      <c r="I164" s="50"/>
      <c r="J164" s="50"/>
      <c r="K164" s="50"/>
    </row>
    <row r="165" spans="1:11">
      <c r="A165" s="50"/>
      <c r="B165" s="50"/>
      <c r="C165" s="50"/>
      <c r="D165" s="50"/>
      <c r="E165" s="50"/>
      <c r="F165" s="50"/>
      <c r="G165" s="50"/>
      <c r="H165" s="50"/>
      <c r="I165" s="50"/>
      <c r="J165" s="50"/>
      <c r="K165" s="50"/>
    </row>
    <row r="166" spans="1:11">
      <c r="A166" s="50"/>
      <c r="B166" s="50"/>
      <c r="C166" s="50"/>
      <c r="D166" s="50"/>
      <c r="E166" s="50"/>
      <c r="F166" s="50"/>
      <c r="G166" s="50"/>
      <c r="H166" s="50"/>
      <c r="I166" s="50"/>
      <c r="J166" s="50"/>
      <c r="K166" s="50"/>
    </row>
    <row r="167" spans="1:11">
      <c r="A167" s="50"/>
      <c r="B167" s="50"/>
      <c r="C167" s="50"/>
      <c r="D167" s="50"/>
      <c r="E167" s="50"/>
      <c r="F167" s="50"/>
      <c r="G167" s="50"/>
      <c r="H167" s="50"/>
      <c r="I167" s="50"/>
      <c r="J167" s="50"/>
      <c r="K167" s="50"/>
    </row>
    <row r="168" spans="1:11">
      <c r="A168" s="50"/>
      <c r="B168" s="50"/>
      <c r="C168" s="50"/>
      <c r="D168" s="50"/>
      <c r="E168" s="50"/>
      <c r="F168" s="50"/>
      <c r="G168" s="50"/>
      <c r="H168" s="50"/>
      <c r="I168" s="50"/>
      <c r="J168" s="50"/>
      <c r="K168" s="50"/>
    </row>
    <row r="169" spans="1:11">
      <c r="A169" s="50"/>
      <c r="B169" s="50"/>
      <c r="C169" s="50"/>
      <c r="D169" s="50"/>
      <c r="E169" s="50"/>
      <c r="F169" s="50"/>
      <c r="G169" s="50"/>
      <c r="H169" s="50"/>
      <c r="I169" s="50"/>
      <c r="J169" s="50"/>
      <c r="K169" s="50"/>
    </row>
    <row r="170" spans="1:11">
      <c r="A170" s="50"/>
      <c r="B170" s="50"/>
      <c r="C170" s="50"/>
      <c r="D170" s="50"/>
      <c r="E170" s="50"/>
      <c r="F170" s="50"/>
      <c r="G170" s="50"/>
      <c r="H170" s="50"/>
      <c r="I170" s="50"/>
      <c r="J170" s="50"/>
      <c r="K170" s="50"/>
    </row>
    <row r="171" spans="1:11">
      <c r="A171" s="50"/>
      <c r="B171" s="50"/>
      <c r="C171" s="50"/>
      <c r="D171" s="50"/>
      <c r="E171" s="50"/>
      <c r="F171" s="50"/>
      <c r="G171" s="50"/>
      <c r="H171" s="50"/>
      <c r="I171" s="50"/>
      <c r="J171" s="50"/>
      <c r="K171" s="50"/>
    </row>
    <row r="172" spans="1:11">
      <c r="A172" s="50"/>
      <c r="B172" s="50"/>
      <c r="C172" s="50"/>
      <c r="D172" s="50"/>
      <c r="E172" s="50"/>
      <c r="F172" s="50"/>
      <c r="G172" s="50"/>
      <c r="H172" s="50"/>
      <c r="I172" s="50"/>
      <c r="J172" s="50"/>
      <c r="K172" s="50"/>
    </row>
    <row r="173" spans="1:11">
      <c r="A173" s="50"/>
      <c r="B173" s="50"/>
      <c r="C173" s="50"/>
      <c r="D173" s="50"/>
      <c r="E173" s="50"/>
      <c r="F173" s="50"/>
      <c r="G173" s="50"/>
      <c r="H173" s="50"/>
      <c r="I173" s="50"/>
      <c r="J173" s="50"/>
      <c r="K173" s="50"/>
    </row>
    <row r="174" spans="1:11">
      <c r="A174" s="50"/>
      <c r="B174" s="50"/>
      <c r="C174" s="50"/>
      <c r="D174" s="50"/>
      <c r="E174" s="50"/>
      <c r="F174" s="50"/>
      <c r="G174" s="50"/>
      <c r="H174" s="50"/>
      <c r="I174" s="50"/>
      <c r="J174" s="50"/>
      <c r="K174" s="50"/>
    </row>
    <row r="175" spans="1:11">
      <c r="A175" s="50"/>
      <c r="B175" s="50"/>
      <c r="C175" s="50"/>
      <c r="D175" s="50"/>
      <c r="E175" s="50"/>
      <c r="F175" s="50"/>
      <c r="G175" s="50"/>
      <c r="H175" s="50"/>
      <c r="I175" s="50"/>
      <c r="J175" s="50"/>
      <c r="K175" s="50"/>
    </row>
    <row r="176" spans="1:11">
      <c r="A176" s="50"/>
      <c r="B176" s="50"/>
      <c r="C176" s="50"/>
      <c r="D176" s="50"/>
      <c r="E176" s="50"/>
      <c r="F176" s="50"/>
      <c r="G176" s="50"/>
      <c r="H176" s="50"/>
      <c r="I176" s="50"/>
      <c r="J176" s="50"/>
      <c r="K176" s="50"/>
    </row>
    <row r="177" spans="1:11">
      <c r="A177" s="50"/>
      <c r="B177" s="50"/>
      <c r="C177" s="50"/>
      <c r="D177" s="50"/>
      <c r="E177" s="50"/>
      <c r="F177" s="50"/>
      <c r="G177" s="50"/>
      <c r="H177" s="50"/>
      <c r="I177" s="50"/>
      <c r="J177" s="50"/>
      <c r="K177" s="50"/>
    </row>
    <row r="178" spans="1:11">
      <c r="A178" s="50"/>
      <c r="B178" s="50"/>
      <c r="C178" s="50"/>
      <c r="D178" s="50"/>
      <c r="E178" s="50"/>
      <c r="F178" s="50"/>
      <c r="G178" s="50"/>
      <c r="H178" s="50"/>
      <c r="I178" s="50"/>
      <c r="J178" s="50"/>
      <c r="K178" s="50"/>
    </row>
    <row r="179" spans="1:11">
      <c r="A179" s="50"/>
      <c r="B179" s="50"/>
      <c r="C179" s="50"/>
      <c r="D179" s="50"/>
      <c r="E179" s="50"/>
      <c r="F179" s="50"/>
      <c r="G179" s="50"/>
      <c r="H179" s="50"/>
      <c r="I179" s="50"/>
      <c r="J179" s="50"/>
      <c r="K179" s="50"/>
    </row>
    <row r="180" spans="1:11">
      <c r="A180" s="50"/>
      <c r="B180" s="50"/>
      <c r="C180" s="50"/>
      <c r="D180" s="50"/>
      <c r="E180" s="50"/>
      <c r="F180" s="50"/>
      <c r="G180" s="50"/>
      <c r="H180" s="50"/>
      <c r="I180" s="50"/>
      <c r="J180" s="50"/>
      <c r="K180" s="50"/>
    </row>
    <row r="181" spans="1:11">
      <c r="A181" s="50"/>
      <c r="B181" s="50"/>
      <c r="C181" s="50"/>
      <c r="D181" s="50"/>
      <c r="E181" s="50"/>
      <c r="F181" s="50"/>
      <c r="G181" s="50"/>
      <c r="H181" s="50"/>
      <c r="I181" s="50"/>
      <c r="J181" s="50"/>
      <c r="K181" s="50"/>
    </row>
    <row r="182" spans="1:11">
      <c r="A182" s="50"/>
      <c r="B182" s="50"/>
      <c r="C182" s="50"/>
      <c r="D182" s="50"/>
      <c r="E182" s="50"/>
      <c r="F182" s="50"/>
      <c r="G182" s="50"/>
      <c r="H182" s="50"/>
      <c r="I182" s="50"/>
      <c r="J182" s="50"/>
      <c r="K182" s="50"/>
    </row>
    <row r="183" spans="1:11">
      <c r="A183" s="50"/>
      <c r="B183" s="50"/>
      <c r="C183" s="50"/>
      <c r="D183" s="50"/>
      <c r="E183" s="50"/>
      <c r="F183" s="50"/>
      <c r="G183" s="50"/>
      <c r="H183" s="50"/>
      <c r="I183" s="50"/>
      <c r="J183" s="50"/>
      <c r="K183" s="50"/>
    </row>
    <row r="184" spans="1:11">
      <c r="A184" s="50"/>
      <c r="B184" s="50"/>
      <c r="C184" s="50"/>
      <c r="D184" s="50"/>
      <c r="E184" s="50"/>
      <c r="F184" s="50"/>
      <c r="G184" s="50"/>
      <c r="H184" s="50"/>
      <c r="I184" s="50"/>
      <c r="J184" s="50"/>
      <c r="K184" s="50"/>
    </row>
    <row r="185" spans="1:11">
      <c r="A185" s="50"/>
      <c r="B185" s="50"/>
      <c r="C185" s="50"/>
      <c r="D185" s="50"/>
      <c r="E185" s="50"/>
      <c r="F185" s="50"/>
      <c r="G185" s="50"/>
      <c r="H185" s="50"/>
      <c r="I185" s="50"/>
      <c r="J185" s="50"/>
      <c r="K185" s="50"/>
    </row>
    <row r="186" spans="1:11">
      <c r="A186" s="50"/>
      <c r="B186" s="50"/>
      <c r="C186" s="50"/>
      <c r="D186" s="50"/>
      <c r="E186" s="50"/>
      <c r="F186" s="50"/>
      <c r="G186" s="50"/>
      <c r="H186" s="50"/>
      <c r="I186" s="50"/>
      <c r="J186" s="50"/>
      <c r="K186" s="50"/>
    </row>
    <row r="187" spans="1:11">
      <c r="A187" s="50"/>
      <c r="B187" s="50"/>
      <c r="C187" s="50"/>
      <c r="D187" s="50"/>
      <c r="E187" s="50"/>
      <c r="F187" s="50"/>
      <c r="G187" s="50"/>
      <c r="H187" s="50"/>
      <c r="I187" s="50"/>
      <c r="J187" s="50"/>
      <c r="K187" s="50"/>
    </row>
    <row r="188" spans="1:11">
      <c r="A188" s="50"/>
      <c r="B188" s="50"/>
      <c r="C188" s="50"/>
      <c r="D188" s="50"/>
      <c r="E188" s="50"/>
      <c r="F188" s="50"/>
      <c r="G188" s="50"/>
      <c r="H188" s="50"/>
      <c r="I188" s="50"/>
      <c r="J188" s="50"/>
      <c r="K188" s="50"/>
    </row>
  </sheetData>
  <sheetProtection algorithmName="SHA-512" hashValue="hu219q8ABGsnLTA/PALWf0qefaJ+fKxVsOo3BMR6JmFQbW9MrGlCy3M8t5ue9IFjwAbWtZhTKtXbjxzJVBvOSQ==" saltValue="+v0uxBKQgc2+KX4Q5v90DQ==" spinCount="100000" sheet="1" objects="1" scenarios="1"/>
  <mergeCells count="10">
    <mergeCell ref="B1:G1"/>
    <mergeCell ref="B2:G2"/>
    <mergeCell ref="B3:G3"/>
    <mergeCell ref="C27:F27"/>
    <mergeCell ref="A32:K32"/>
    <mergeCell ref="A10:K10"/>
    <mergeCell ref="C23:F23"/>
    <mergeCell ref="H7:K7"/>
    <mergeCell ref="A12:A15"/>
    <mergeCell ref="C25:F25"/>
  </mergeCells>
  <conditionalFormatting sqref="I34:I36">
    <cfRule type="containsText" dxfId="6" priority="3" operator="containsText" text="WEITER">
      <formula>NOT(ISERROR(SEARCH("WEITER",I34)))</formula>
    </cfRule>
  </conditionalFormatting>
  <conditionalFormatting sqref="E17:F17 E19:F19 E21:F21">
    <cfRule type="expression" dxfId="5" priority="4">
      <formula>#REF!=1</formula>
    </cfRule>
  </conditionalFormatting>
  <conditionalFormatting sqref="H12:J13 I14:K15">
    <cfRule type="expression" dxfId="4" priority="5">
      <formula>#REF!=1</formula>
    </cfRule>
  </conditionalFormatting>
  <dataValidations count="1">
    <dataValidation type="textLength" allowBlank="1" showInputMessage="1" showErrorMessage="1" error="Bitte verwenden Sie nicht mehr als 199 Zeichen / S.v.p. utilisez 199 caractères au maximum" sqref="A17 A19 A21">
      <formula1>0</formula1>
      <formula2>199</formula2>
    </dataValidation>
  </dataValidations>
  <hyperlinks>
    <hyperlink ref="H34" location="'43uEX'!A1" display="'43uEX'!A1"/>
    <hyperlink ref="H36" location="'5'!A1" display="'5'!A1"/>
    <hyperlink ref="C34" location="'40'!$A$1" display="'40'!$A$1"/>
  </hyperlinks>
  <pageMargins left="0.74803149606299213" right="0.74803149606299213" top="0.39370078740157483" bottom="0.19685039370078741" header="0.51181102362204722" footer="0.51181102362204722"/>
  <pageSetup paperSize="9" scale="87"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9818E1C4-5F7F-FF49-AFD4-E961D88A551C}">
            <xm:f>txt!$B$222</xm:f>
            <x14:dxf>
              <font>
                <u/>
                <color rgb="FF0000FF"/>
              </font>
              <fill>
                <patternFill patternType="solid">
                  <fgColor indexed="64"/>
                  <bgColor rgb="FFFFFF00"/>
                </patternFill>
              </fill>
            </x14:dxf>
          </x14:cfRule>
          <xm:sqref>H34:H36</xm:sqref>
        </x14:conditionalFormatting>
      </x14:conditionalFormattings>
    </ex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tabColor theme="9" tint="0.39997558519241921"/>
    <pageSetUpPr fitToPage="1"/>
  </sheetPr>
  <dimension ref="A1:AY189"/>
  <sheetViews>
    <sheetView workbookViewId="0">
      <selection activeCell="A17" sqref="A17"/>
    </sheetView>
  </sheetViews>
  <sheetFormatPr baseColWidth="10" defaultColWidth="10.6640625" defaultRowHeight="12.75"/>
  <cols>
    <col min="1" max="1" width="50.6640625" style="79" customWidth="1"/>
    <col min="2" max="2" width="2.6640625" style="79" customWidth="1"/>
    <col min="3" max="3" width="8.6640625" style="79" customWidth="1"/>
    <col min="4" max="4" width="8.6640625" style="133" customWidth="1"/>
    <col min="5" max="6" width="8.6640625" style="79" customWidth="1"/>
    <col min="7" max="7" width="2.6640625" style="79" customWidth="1"/>
    <col min="8" max="11" width="8.6640625" style="79" customWidth="1"/>
    <col min="12" max="51" width="10.6640625" style="50"/>
    <col min="52" max="16384" width="10.6640625" style="79"/>
  </cols>
  <sheetData>
    <row r="1" spans="1:11" ht="15" customHeight="1">
      <c r="A1" s="50"/>
      <c r="B1" s="366" t="str">
        <f>txt!B42</f>
        <v>Preiserhebung</v>
      </c>
      <c r="C1" s="366"/>
      <c r="D1" s="366"/>
      <c r="E1" s="366"/>
      <c r="F1" s="366"/>
      <c r="G1" s="366"/>
      <c r="H1" s="50"/>
      <c r="I1" s="50"/>
      <c r="J1" s="50"/>
      <c r="K1" s="51" t="str">
        <f>txt!B175</f>
        <v>Eidg. Departement des Innern</v>
      </c>
    </row>
    <row r="2" spans="1:11" ht="15" customHeight="1">
      <c r="A2" s="50"/>
      <c r="B2" s="366" t="str">
        <f>txt!B43</f>
        <v>Produzentenpreisindex</v>
      </c>
      <c r="C2" s="366"/>
      <c r="D2" s="366"/>
      <c r="E2" s="366"/>
      <c r="F2" s="366"/>
      <c r="G2" s="366"/>
      <c r="H2" s="50"/>
      <c r="I2" s="50"/>
      <c r="J2" s="50"/>
      <c r="K2" s="51" t="str">
        <f>txt!B176</f>
        <v>Bundesamt für Statistik BFS</v>
      </c>
    </row>
    <row r="3" spans="1:11" ht="15" customHeight="1">
      <c r="A3" s="50"/>
      <c r="B3" s="366" t="str">
        <f>txt!B44</f>
        <v>Informatikdienstleistungen</v>
      </c>
      <c r="C3" s="366"/>
      <c r="D3" s="366"/>
      <c r="E3" s="366"/>
      <c r="F3" s="366"/>
      <c r="G3" s="366"/>
      <c r="H3" s="50"/>
      <c r="I3" s="50"/>
      <c r="J3" s="50"/>
      <c r="K3" s="51" t="str">
        <f>txt!B177</f>
        <v>Abt. Wirtschaft, Sektion PREIS</v>
      </c>
    </row>
    <row r="4" spans="1:11" ht="13.5" customHeight="1">
      <c r="A4" s="63"/>
      <c r="B4" s="63"/>
      <c r="C4" s="63"/>
      <c r="D4" s="63"/>
      <c r="E4" s="63"/>
      <c r="F4" s="63"/>
      <c r="G4" s="63"/>
      <c r="H4" s="63"/>
      <c r="I4" s="63"/>
      <c r="J4" s="63"/>
      <c r="K4" s="63"/>
    </row>
    <row r="5" spans="1:11" ht="13.5" customHeight="1">
      <c r="A5" s="63" t="str">
        <f>txt!B46</f>
        <v>PMS-Nr. 0</v>
      </c>
      <c r="B5" s="63"/>
      <c r="C5" s="63"/>
      <c r="D5" s="63"/>
      <c r="E5" s="63"/>
      <c r="F5" s="63"/>
      <c r="G5" s="63"/>
      <c r="H5" s="63"/>
      <c r="I5" s="50"/>
      <c r="J5" s="63"/>
      <c r="K5" s="51" t="str">
        <f>txt!B45</f>
        <v/>
      </c>
    </row>
    <row r="6" spans="1:11" ht="13.5" customHeight="1">
      <c r="A6" s="63"/>
      <c r="B6" s="63"/>
      <c r="C6" s="63"/>
      <c r="D6" s="63"/>
      <c r="E6" s="63"/>
      <c r="F6" s="63"/>
      <c r="G6" s="63"/>
      <c r="H6" s="63"/>
      <c r="I6" s="63"/>
      <c r="J6" s="63"/>
      <c r="K6" s="63"/>
    </row>
    <row r="7" spans="1:11" ht="13.5" customHeight="1">
      <c r="A7" s="63" t="str">
        <f>txt!B47&amp;": "&amp;txt!B52</f>
        <v>Geschäftsfeld: IT-Infrastrukturdienste</v>
      </c>
      <c r="B7" s="63"/>
      <c r="C7" s="63"/>
      <c r="D7" s="63"/>
      <c r="E7" s="63"/>
      <c r="F7" s="63"/>
      <c r="G7" s="63"/>
      <c r="H7" s="349" t="str">
        <f>" "&amp;REPT("|",INT(Steuerung!AF49*107))</f>
        <v xml:space="preserve"> </v>
      </c>
      <c r="I7" s="350"/>
      <c r="J7" s="350"/>
      <c r="K7" s="351"/>
    </row>
    <row r="8" spans="1:11" ht="13.5" customHeight="1">
      <c r="A8" s="63" t="str">
        <f>txt!B48&amp;": "&amp;txt!B64</f>
        <v>Dienstleistungstyp: Software as a Service (SaaS)</v>
      </c>
      <c r="B8" s="63"/>
      <c r="C8" s="63"/>
      <c r="D8" s="63"/>
      <c r="E8" s="63"/>
      <c r="F8" s="63"/>
      <c r="G8" s="63"/>
      <c r="H8" s="63"/>
      <c r="I8" s="63"/>
      <c r="J8" s="63"/>
      <c r="K8" s="65" t="str">
        <f>IF($A$17="",txt!B250,IF($H$17="",txt!B242,IF($I$17="",txt!B235,IF($J$17="",txt!B233,IF($K$17="",txt!B234,IF(A34=1,"",""))))))</f>
        <v>Bitte beschreiben Sie SaaS-Leistungen für ausländische Geschäftskunden</v>
      </c>
    </row>
    <row r="9" spans="1:11" ht="13.5" customHeight="1">
      <c r="A9" s="63"/>
      <c r="B9" s="63"/>
      <c r="C9" s="63"/>
      <c r="D9" s="63"/>
      <c r="E9" s="63"/>
      <c r="F9" s="50"/>
      <c r="G9" s="50"/>
      <c r="H9" s="50"/>
      <c r="I9" s="50"/>
      <c r="J9" s="50"/>
      <c r="K9" s="50"/>
    </row>
    <row r="10" spans="1:11" ht="13.5" customHeight="1">
      <c r="A10" s="357" t="str">
        <f>txt!B190</f>
        <v>Wie hoch war der Unit-Nettopreis im unten genannten Vertrag?</v>
      </c>
      <c r="B10" s="357"/>
      <c r="C10" s="357"/>
      <c r="D10" s="357"/>
      <c r="E10" s="357"/>
      <c r="F10" s="357"/>
      <c r="G10" s="357"/>
      <c r="H10" s="357"/>
      <c r="I10" s="357"/>
      <c r="J10" s="357"/>
      <c r="K10" s="357"/>
    </row>
    <row r="11" spans="1:11" ht="13.5" customHeight="1">
      <c r="A11" s="63"/>
      <c r="B11" s="63"/>
      <c r="C11" s="63"/>
      <c r="D11" s="63"/>
      <c r="E11" s="63"/>
      <c r="F11" s="63"/>
      <c r="G11" s="63"/>
      <c r="H11" s="63"/>
      <c r="I11" s="63"/>
      <c r="J11" s="50"/>
      <c r="K11" s="50"/>
    </row>
    <row r="12" spans="1:11" ht="13.5" customHeight="1">
      <c r="A12" s="352" t="str">
        <f>txt!B211&amp;":"</f>
        <v>Beschreiben Sie eine SaaS-Leistung für einen bis drei zentrale ausländische(n) Geschäftskunden (inkl. Kundenauftragsidentifikator, z.B. Auftragsnummer):</v>
      </c>
      <c r="B12" s="63"/>
      <c r="C12" s="63"/>
      <c r="D12" s="63"/>
      <c r="E12" s="63"/>
      <c r="F12" s="63"/>
      <c r="G12" s="50"/>
      <c r="H12" s="167" t="str">
        <f>txt!B158</f>
        <v>Kunde im Ausland</v>
      </c>
      <c r="I12" s="135"/>
      <c r="J12" s="135"/>
      <c r="K12" s="50"/>
    </row>
    <row r="13" spans="1:11" ht="13.5" customHeight="1">
      <c r="A13" s="352"/>
      <c r="B13" s="63"/>
      <c r="C13" s="63"/>
      <c r="D13" s="63"/>
      <c r="E13" s="63"/>
      <c r="F13" s="63"/>
      <c r="G13" s="50"/>
      <c r="H13" s="167"/>
      <c r="I13" s="135"/>
      <c r="J13" s="135"/>
      <c r="K13" s="50"/>
    </row>
    <row r="14" spans="1:11" ht="13.5" customHeight="1">
      <c r="A14" s="352"/>
      <c r="B14" s="63"/>
      <c r="C14" s="63"/>
      <c r="D14" s="63"/>
      <c r="E14" s="63"/>
      <c r="F14" s="63"/>
      <c r="G14" s="50"/>
      <c r="H14" s="57" t="str">
        <f>txt!B194</f>
        <v>Skalierbar</v>
      </c>
      <c r="I14" s="50"/>
      <c r="J14" s="168" t="str">
        <f>txt!B23</f>
        <v>März 2022</v>
      </c>
      <c r="K14" s="168" t="str">
        <f>txt!B24</f>
        <v>März 2021</v>
      </c>
    </row>
    <row r="15" spans="1:11" ht="13.5" customHeight="1">
      <c r="A15" s="352"/>
      <c r="B15" s="63"/>
      <c r="C15" s="63"/>
      <c r="D15" s="63"/>
      <c r="E15" s="63"/>
      <c r="F15" s="63"/>
      <c r="G15" s="50"/>
      <c r="H15" s="57" t="str">
        <f>txt!B195</f>
        <v>Einheit</v>
      </c>
      <c r="I15" s="57" t="str">
        <f>txt!$B$161</f>
        <v>Währung</v>
      </c>
      <c r="J15" s="170" t="str">
        <f>txt!B166</f>
        <v>Preis</v>
      </c>
      <c r="K15" s="170" t="str">
        <f>txt!B166</f>
        <v>Preis</v>
      </c>
    </row>
    <row r="16" spans="1:11" ht="13.5" customHeight="1">
      <c r="A16" s="63"/>
      <c r="B16" s="63"/>
      <c r="C16" s="63"/>
      <c r="D16" s="63"/>
      <c r="E16" s="63"/>
      <c r="F16" s="63"/>
      <c r="G16" s="63"/>
      <c r="H16" s="63"/>
      <c r="I16" s="63"/>
      <c r="J16" s="63"/>
      <c r="K16" s="63"/>
    </row>
    <row r="17" spans="1:11" ht="40.5" customHeight="1">
      <c r="A17" s="276"/>
      <c r="B17" s="149"/>
      <c r="C17" s="63"/>
      <c r="D17" s="63"/>
      <c r="E17" s="63"/>
      <c r="F17" s="63"/>
      <c r="G17" s="149"/>
      <c r="H17" s="310"/>
      <c r="I17" s="279"/>
      <c r="J17" s="284"/>
      <c r="K17" s="284"/>
    </row>
    <row r="18" spans="1:11" ht="7.5" customHeight="1">
      <c r="A18" s="111"/>
      <c r="B18" s="111"/>
      <c r="C18" s="63"/>
      <c r="D18" s="63"/>
      <c r="E18" s="63"/>
      <c r="F18" s="63"/>
      <c r="G18" s="111"/>
      <c r="H18" s="111"/>
      <c r="I18" s="111"/>
      <c r="J18" s="111"/>
      <c r="K18" s="111"/>
    </row>
    <row r="19" spans="1:11" ht="40.5" customHeight="1">
      <c r="A19" s="276"/>
      <c r="B19" s="149"/>
      <c r="C19" s="63"/>
      <c r="D19" s="63"/>
      <c r="E19" s="63"/>
      <c r="F19" s="63"/>
      <c r="G19" s="149"/>
      <c r="H19" s="310"/>
      <c r="I19" s="279"/>
      <c r="J19" s="284"/>
      <c r="K19" s="284"/>
    </row>
    <row r="20" spans="1:11" ht="7.5" customHeight="1">
      <c r="A20" s="111"/>
      <c r="B20" s="111"/>
      <c r="C20" s="63"/>
      <c r="D20" s="63"/>
      <c r="E20" s="63"/>
      <c r="F20" s="63"/>
      <c r="G20" s="111"/>
      <c r="H20" s="111"/>
      <c r="I20" s="111"/>
      <c r="J20" s="111"/>
      <c r="K20" s="111"/>
    </row>
    <row r="21" spans="1:11" ht="40.5" customHeight="1">
      <c r="A21" s="276"/>
      <c r="B21" s="149"/>
      <c r="C21" s="63"/>
      <c r="D21" s="63"/>
      <c r="E21" s="63"/>
      <c r="F21" s="63"/>
      <c r="G21" s="149"/>
      <c r="H21" s="310"/>
      <c r="I21" s="279"/>
      <c r="J21" s="284"/>
      <c r="K21" s="284"/>
    </row>
    <row r="22" spans="1:11" ht="13.5" customHeight="1">
      <c r="A22" s="156"/>
      <c r="B22" s="156"/>
      <c r="C22" s="63"/>
      <c r="D22" s="63"/>
      <c r="E22" s="63"/>
      <c r="F22" s="63"/>
      <c r="G22" s="156"/>
      <c r="H22" s="156"/>
      <c r="I22" s="156"/>
      <c r="J22" s="156"/>
      <c r="K22" s="156"/>
    </row>
    <row r="23" spans="1:11" ht="40.5" customHeight="1">
      <c r="A23" s="234" t="str">
        <f>txt!B212</f>
        <v>Beispiel: Customer Relationship Management (CRM)-Lösung für Kunde x.</v>
      </c>
      <c r="B23" s="156"/>
      <c r="C23" s="63"/>
      <c r="D23" s="63"/>
      <c r="E23" s="63"/>
      <c r="F23" s="63"/>
      <c r="G23" s="156"/>
      <c r="H23" s="348" t="str">
        <f>txt!B160</f>
        <v>Definition "Kunde im Ausland": Adresse des Leistungsbezügers im Ausland.</v>
      </c>
      <c r="I23" s="348"/>
      <c r="J23" s="348"/>
      <c r="K23" s="348"/>
    </row>
    <row r="24" spans="1:11" ht="7.5" customHeight="1">
      <c r="A24" s="156"/>
      <c r="B24" s="156"/>
      <c r="C24" s="63"/>
      <c r="D24" s="63"/>
      <c r="E24" s="63"/>
      <c r="F24" s="63"/>
      <c r="G24" s="156"/>
      <c r="H24" s="156"/>
      <c r="I24" s="156"/>
      <c r="J24" s="156"/>
      <c r="K24" s="156"/>
    </row>
    <row r="25" spans="1:11" ht="27" customHeight="1">
      <c r="A25" s="234" t="str">
        <f>txt!B213</f>
        <v>Beispiel: Enterprise Ressource Planning (ERP)-Lösung für Kunde y.</v>
      </c>
      <c r="B25" s="156"/>
      <c r="C25" s="63"/>
      <c r="D25" s="63"/>
      <c r="E25" s="63"/>
      <c r="F25" s="63"/>
      <c r="G25" s="156"/>
      <c r="H25" s="348" t="str">
        <f>txt!B169</f>
        <v>Die Preise sind ohne Mehrwertsteuer anzugeben.</v>
      </c>
      <c r="I25" s="348"/>
      <c r="J25" s="348"/>
      <c r="K25" s="348"/>
    </row>
    <row r="26" spans="1:11" ht="7.5" customHeight="1">
      <c r="A26" s="156"/>
      <c r="B26" s="156"/>
      <c r="C26" s="63"/>
      <c r="D26" s="63"/>
      <c r="E26" s="63"/>
      <c r="F26" s="63"/>
      <c r="G26" s="156"/>
      <c r="H26" s="156"/>
      <c r="I26" s="156"/>
      <c r="J26" s="156"/>
      <c r="K26" s="156"/>
    </row>
    <row r="27" spans="1:11" ht="40.5" customHeight="1">
      <c r="A27" s="234" t="str">
        <f>txt!B124</f>
        <v>Der Kundenidentifikator (Auftragsnummer, Kundennummer etc.) dient Ihnen ausschliesslich zur Identifizierung des Auftrags im Folgejahr. Sie können aus Sicherheitsgründen diese Nummer anonymisieren.</v>
      </c>
      <c r="B27" s="156"/>
      <c r="C27" s="63"/>
      <c r="D27" s="63"/>
      <c r="E27" s="63"/>
      <c r="F27" s="63"/>
      <c r="G27" s="156"/>
      <c r="H27" s="348" t="str">
        <f>txt!B192</f>
        <v>Unit-Nettopreis: (Pauschale + Unit-Preis * effektiv bezogene Leistung - allfällige Rabatte) / effektiv bezogene Leistung.</v>
      </c>
      <c r="I27" s="348"/>
      <c r="J27" s="348"/>
      <c r="K27" s="348"/>
    </row>
    <row r="28" spans="1:11" ht="13.5" customHeight="1">
      <c r="A28" s="156"/>
      <c r="B28" s="156"/>
      <c r="C28" s="156"/>
      <c r="D28" s="156"/>
      <c r="E28" s="156"/>
      <c r="F28" s="156"/>
      <c r="G28" s="156"/>
      <c r="H28" s="156"/>
      <c r="I28" s="156"/>
      <c r="J28" s="68"/>
      <c r="K28" s="156"/>
    </row>
    <row r="29" spans="1:11" ht="20.100000000000001" customHeight="1">
      <c r="A29" s="234" t="str">
        <f>txt!B125</f>
        <v>Bitte geben Sie den Preis bei Vertragsabschluss an.</v>
      </c>
      <c r="B29" s="187"/>
      <c r="C29" s="187"/>
      <c r="D29" s="187"/>
      <c r="E29" s="187"/>
      <c r="F29" s="187"/>
      <c r="G29" s="187"/>
      <c r="H29" s="187"/>
      <c r="I29" s="187"/>
      <c r="J29" s="68"/>
      <c r="K29" s="187"/>
    </row>
    <row r="30" spans="1:11" ht="13.5" customHeight="1">
      <c r="A30" s="187"/>
      <c r="B30" s="187"/>
      <c r="C30" s="187"/>
      <c r="D30" s="187"/>
      <c r="E30" s="187"/>
      <c r="F30" s="187"/>
      <c r="G30" s="187"/>
      <c r="H30" s="187"/>
      <c r="I30" s="187"/>
      <c r="J30" s="68"/>
      <c r="K30" s="187"/>
    </row>
    <row r="31" spans="1:11" ht="13.5" customHeight="1">
      <c r="A31" s="157" t="str">
        <f>txt!B173&amp;":"</f>
        <v>Bemerkungen:</v>
      </c>
      <c r="B31" s="111"/>
      <c r="C31" s="111"/>
      <c r="D31" s="111"/>
      <c r="E31" s="111"/>
      <c r="F31" s="111"/>
      <c r="G31" s="111"/>
      <c r="H31" s="111"/>
      <c r="I31" s="111"/>
      <c r="J31" s="80"/>
      <c r="K31" s="111"/>
    </row>
    <row r="32" spans="1:11" ht="54" customHeight="1">
      <c r="A32" s="367"/>
      <c r="B32" s="368"/>
      <c r="C32" s="368"/>
      <c r="D32" s="368"/>
      <c r="E32" s="368"/>
      <c r="F32" s="368"/>
      <c r="G32" s="368"/>
      <c r="H32" s="368"/>
      <c r="I32" s="368"/>
      <c r="J32" s="368"/>
      <c r="K32" s="369"/>
    </row>
    <row r="33" spans="1:11" ht="13.5" customHeight="1">
      <c r="A33" s="50"/>
      <c r="B33" s="50"/>
      <c r="C33" s="50"/>
      <c r="D33" s="50"/>
      <c r="E33" s="50"/>
      <c r="F33" s="50"/>
      <c r="G33" s="50"/>
      <c r="H33" s="50"/>
      <c r="I33" s="50"/>
      <c r="J33" s="50"/>
      <c r="K33" s="50"/>
    </row>
    <row r="34" spans="1:11" ht="13.5" customHeight="1">
      <c r="A34" s="78">
        <v>1</v>
      </c>
      <c r="B34" s="50"/>
      <c r="C34" s="303" t="str">
        <f>txt!$B$221</f>
        <v>ZURÜCK</v>
      </c>
      <c r="D34" s="181"/>
      <c r="E34" s="181"/>
      <c r="F34" s="181"/>
      <c r="G34" s="50"/>
      <c r="H34" s="274" t="str">
        <f>IF($A$17="","",IF($H$17="","",IF($I$17="",txt!B235,IF($J$17="","",IF($K$17="","",IF(A34=1,txt!$B$222,""))))))</f>
        <v/>
      </c>
      <c r="I34" s="112"/>
      <c r="J34" s="50"/>
      <c r="K34" s="50"/>
    </row>
    <row r="35" spans="1:11" s="50" customFormat="1" ht="13.5" customHeight="1">
      <c r="A35" s="63"/>
      <c r="B35" s="63"/>
      <c r="C35" s="63"/>
      <c r="D35" s="63"/>
      <c r="E35" s="63"/>
    </row>
    <row r="36" spans="1:11" s="50" customFormat="1" ht="13.5" customHeight="1">
      <c r="A36" s="63"/>
      <c r="B36" s="63"/>
      <c r="C36" s="63"/>
      <c r="D36" s="63"/>
      <c r="E36" s="63"/>
    </row>
    <row r="37" spans="1:11" s="50" customFormat="1" ht="13.5" customHeight="1">
      <c r="A37" s="63"/>
      <c r="B37" s="63"/>
      <c r="C37" s="63"/>
      <c r="D37" s="63"/>
      <c r="E37" s="63"/>
    </row>
    <row r="38" spans="1:11" s="50" customFormat="1" ht="13.5" customHeight="1">
      <c r="A38" s="63"/>
      <c r="B38" s="63"/>
      <c r="C38" s="63"/>
      <c r="D38" s="63"/>
      <c r="E38" s="63"/>
    </row>
    <row r="39" spans="1:11" s="50" customFormat="1" ht="13.5" customHeight="1"/>
    <row r="40" spans="1:11" s="50" customFormat="1" ht="13.5" customHeight="1"/>
    <row r="41" spans="1:11" s="50" customFormat="1"/>
    <row r="42" spans="1:11" s="50" customFormat="1"/>
    <row r="43" spans="1:11" s="50" customFormat="1"/>
    <row r="44" spans="1:11" s="50" customFormat="1"/>
    <row r="45" spans="1:11" s="50" customFormat="1"/>
    <row r="46" spans="1:11" s="50" customFormat="1" ht="12.95" customHeight="1"/>
    <row r="47" spans="1:11" s="50" customFormat="1"/>
    <row r="48" spans="1:11"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row r="164" s="50" customFormat="1"/>
    <row r="165" s="50" customFormat="1"/>
    <row r="166" s="50" customFormat="1"/>
    <row r="167" s="50" customFormat="1"/>
    <row r="168" s="50" customFormat="1"/>
    <row r="169" s="50" customFormat="1"/>
    <row r="170" s="50" customFormat="1"/>
    <row r="171" s="50" customFormat="1"/>
    <row r="172" s="50" customFormat="1"/>
    <row r="173" s="50" customFormat="1"/>
    <row r="174" s="50" customFormat="1"/>
    <row r="175" s="50" customFormat="1"/>
    <row r="176" s="50" customFormat="1"/>
    <row r="177" s="50" customFormat="1"/>
    <row r="178" s="50" customFormat="1"/>
    <row r="179" s="50" customFormat="1"/>
    <row r="180" s="50" customFormat="1"/>
    <row r="181" s="50" customFormat="1"/>
    <row r="182" s="50" customFormat="1"/>
    <row r="183" s="50" customFormat="1"/>
    <row r="184" s="50" customFormat="1"/>
    <row r="185" s="50" customFormat="1"/>
    <row r="186" s="50" customFormat="1"/>
    <row r="187" s="50" customFormat="1"/>
    <row r="188" s="50" customFormat="1"/>
    <row r="189" s="50" customFormat="1"/>
  </sheetData>
  <sheetProtection algorithmName="SHA-512" hashValue="EUcfMiQ7N3ieX4NY/g/YXxUdGFLzaOz7bBJqfzw65Vb1EBuBiCNBkgLkeiEhomg1fHsgRdfXGvfLq3PbibyAiw==" saltValue="rVksS2iSkCZq9o+cm+nhkw==" spinCount="100000" sheet="1" objects="1" scenarios="1"/>
  <mergeCells count="10">
    <mergeCell ref="B1:G1"/>
    <mergeCell ref="B2:G2"/>
    <mergeCell ref="B3:G3"/>
    <mergeCell ref="H27:K27"/>
    <mergeCell ref="A32:K32"/>
    <mergeCell ref="A10:K10"/>
    <mergeCell ref="H23:K23"/>
    <mergeCell ref="H7:K7"/>
    <mergeCell ref="A12:A15"/>
    <mergeCell ref="H25:K25"/>
  </mergeCells>
  <conditionalFormatting sqref="I34">
    <cfRule type="containsText" dxfId="2" priority="3" operator="containsText" text="WEITER">
      <formula>NOT(ISERROR(SEARCH("WEITER",I34)))</formula>
    </cfRule>
  </conditionalFormatting>
  <conditionalFormatting sqref="J17:K17 J19:K19 J21:K21">
    <cfRule type="expression" dxfId="1" priority="4">
      <formula>#REF!=1</formula>
    </cfRule>
  </conditionalFormatting>
  <dataValidations count="3">
    <dataValidation type="list" allowBlank="1" showInputMessage="1" showErrorMessage="1" error="Bitte wählen Sie einen Wert aus dem Drop-Down-Menu / Sélectionnez une valeur dans le menu déroulant, s.v.p." sqref="I19">
      <formula1>$B$161:$B$163</formula1>
    </dataValidation>
    <dataValidation type="list" allowBlank="1" showInputMessage="1" showErrorMessage="1" error="Bitte wählen Sie einen Wert aus dem Drop-Down-Menu / Sélectionnez une valeur dans le menu déroulant, s.v.p." sqref="I21">
      <formula1>$B$161:$B$163</formula1>
    </dataValidation>
    <dataValidation type="textLength" allowBlank="1" showInputMessage="1" showErrorMessage="1" error="Bitte verwenden Sie nicht mehr als 199 Zeichen / S.v.p. utilisez 199 caractères au maximum" sqref="A17 A19 A21">
      <formula1>0</formula1>
      <formula2>199</formula2>
    </dataValidation>
  </dataValidations>
  <hyperlinks>
    <hyperlink ref="H34" location="'5'!A1" display="'5'!A1"/>
    <hyperlink ref="C34" location="'40'!A1" display="'40'!A1"/>
  </hyperlinks>
  <pageMargins left="0.74803149606299213" right="0.74803149606299213" top="0.39370078740157483" bottom="0.19685039370078741" header="0.51181102362204722" footer="0.51181102362204722"/>
  <pageSetup paperSize="9" scale="87"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E83FE06E-43F6-1946-9EB8-DD5C99CAA3DA}">
            <xm:f>txt!$B$222</xm:f>
            <x14:dxf>
              <font>
                <u/>
                <color rgb="FF0000FF"/>
              </font>
              <fill>
                <patternFill patternType="solid">
                  <fgColor indexed="64"/>
                  <bgColor rgb="FFFFFF00"/>
                </patternFill>
              </fill>
            </x14:dxf>
          </x14:cfRule>
          <xm:sqref>H34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Bitte wählen Sie einen Wert aus dem Drop-Down-Menu / Sélectionnez une valeur dans le menu déroulant, s.v.p.">
          <x14:formula1>
            <xm:f>txt!$B$162:$B$164</xm:f>
          </x14:formula1>
          <xm:sqref>I17</xm:sqref>
        </x14:dataValidation>
      </x14:dataValidations>
    </ex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tabColor rgb="FFFFFF00"/>
    <pageSetUpPr fitToPage="1"/>
  </sheetPr>
  <dimension ref="A1:AQ163"/>
  <sheetViews>
    <sheetView workbookViewId="0">
      <selection activeCell="A12" sqref="A12:G12"/>
    </sheetView>
  </sheetViews>
  <sheetFormatPr baseColWidth="10" defaultColWidth="10.6640625" defaultRowHeight="12.75"/>
  <cols>
    <col min="1" max="1" width="50.6640625" style="79" customWidth="1"/>
    <col min="2" max="2" width="2.6640625" style="79" customWidth="1"/>
    <col min="3" max="3" width="8.6640625" style="79" customWidth="1"/>
    <col min="4" max="4" width="12.6640625" style="133" customWidth="1"/>
    <col min="5" max="5" width="12.6640625" style="79" customWidth="1"/>
    <col min="6" max="6" width="2.6640625" style="79" customWidth="1"/>
    <col min="7" max="7" width="32.6640625" style="79" customWidth="1"/>
    <col min="8" max="11" width="10.6640625" style="50"/>
    <col min="12" max="12" width="32.6640625" style="50" customWidth="1"/>
    <col min="13" max="43" width="10.6640625" style="50"/>
    <col min="44" max="16384" width="10.6640625" style="79"/>
  </cols>
  <sheetData>
    <row r="1" spans="1:43" ht="15" customHeight="1">
      <c r="A1" s="50"/>
      <c r="B1" s="160"/>
      <c r="C1" s="336" t="str">
        <f>txt!$B$42</f>
        <v>Preiserhebung</v>
      </c>
      <c r="D1" s="336"/>
      <c r="E1" s="336"/>
      <c r="F1" s="160"/>
      <c r="G1" s="51" t="str">
        <f>txt!$B$175</f>
        <v>Eidg. Departement des Innern</v>
      </c>
    </row>
    <row r="2" spans="1:43" ht="15" customHeight="1">
      <c r="A2" s="50"/>
      <c r="B2" s="160"/>
      <c r="C2" s="336" t="str">
        <f>txt!$B$43</f>
        <v>Produzentenpreisindex</v>
      </c>
      <c r="D2" s="336"/>
      <c r="E2" s="336"/>
      <c r="F2" s="160"/>
      <c r="G2" s="51" t="str">
        <f>txt!$B$176</f>
        <v>Bundesamt für Statistik BFS</v>
      </c>
    </row>
    <row r="3" spans="1:43" ht="15" customHeight="1">
      <c r="A3" s="50"/>
      <c r="B3" s="160"/>
      <c r="C3" s="337" t="str">
        <f>txt!$B$44</f>
        <v>Informatikdienstleistungen</v>
      </c>
      <c r="D3" s="337"/>
      <c r="E3" s="337"/>
      <c r="F3" s="160"/>
      <c r="G3" s="52" t="str">
        <f>txt!$B$177</f>
        <v>Abt. Wirtschaft, Sektion PREIS</v>
      </c>
    </row>
    <row r="4" spans="1:43" ht="13.5" customHeight="1">
      <c r="A4" s="63"/>
      <c r="B4" s="63"/>
      <c r="C4" s="63"/>
      <c r="D4" s="63"/>
      <c r="E4" s="63"/>
      <c r="F4" s="63"/>
      <c r="G4" s="63"/>
    </row>
    <row r="5" spans="1:43" ht="13.5" customHeight="1">
      <c r="A5" s="63" t="str">
        <f>txt!B46</f>
        <v>PMS-Nr. 0</v>
      </c>
      <c r="B5" s="63"/>
      <c r="C5" s="63"/>
      <c r="D5" s="63"/>
      <c r="E5" s="63"/>
      <c r="F5" s="63"/>
      <c r="G5" s="51" t="str">
        <f>txt!B45</f>
        <v/>
      </c>
    </row>
    <row r="6" spans="1:43" ht="13.5" customHeight="1">
      <c r="A6" s="63"/>
      <c r="B6" s="63"/>
      <c r="C6" s="63"/>
      <c r="D6" s="63"/>
      <c r="E6" s="63"/>
      <c r="F6" s="63"/>
      <c r="G6" s="63"/>
    </row>
    <row r="7" spans="1:43" ht="13.5" customHeight="1">
      <c r="A7" s="63"/>
      <c r="B7" s="63"/>
      <c r="C7" s="63"/>
      <c r="D7" s="63"/>
      <c r="E7" s="63"/>
      <c r="F7" s="63"/>
      <c r="G7" s="178" t="str">
        <f>txt!B253</f>
        <v>Sie sind am Ende der Umfrage angelangt.</v>
      </c>
    </row>
    <row r="8" spans="1:43" ht="13.5" customHeight="1">
      <c r="A8" s="63"/>
      <c r="B8" s="63"/>
      <c r="C8" s="63"/>
      <c r="D8" s="63"/>
      <c r="E8" s="63"/>
      <c r="F8" s="63"/>
      <c r="G8" s="54"/>
    </row>
    <row r="9" spans="1:43" ht="13.5" customHeight="1">
      <c r="A9" s="63"/>
      <c r="B9" s="63"/>
      <c r="C9" s="63"/>
      <c r="D9" s="63"/>
      <c r="E9" s="63"/>
      <c r="F9" s="50"/>
    </row>
    <row r="10" spans="1:43" ht="13.5" customHeight="1">
      <c r="A10" s="357" t="str">
        <f>txt!B252</f>
        <v>Sie haben nun die Möglichkeit für Anmerkungen und Kommentare zu dieser Umfrage:</v>
      </c>
      <c r="B10" s="357"/>
      <c r="C10" s="357"/>
      <c r="D10" s="357"/>
      <c r="E10" s="357"/>
      <c r="F10" s="357"/>
      <c r="G10" s="357"/>
    </row>
    <row r="11" spans="1:43" ht="13.5" customHeight="1">
      <c r="A11" s="152"/>
      <c r="B11" s="104"/>
      <c r="C11" s="104"/>
      <c r="D11" s="104"/>
      <c r="E11" s="104"/>
      <c r="F11" s="50"/>
      <c r="G11" s="50"/>
    </row>
    <row r="12" spans="1:43" ht="202.5" customHeight="1">
      <c r="A12" s="359"/>
      <c r="B12" s="360"/>
      <c r="C12" s="360"/>
      <c r="D12" s="360"/>
      <c r="E12" s="360"/>
      <c r="F12" s="360"/>
      <c r="G12" s="361"/>
    </row>
    <row r="13" spans="1:43" s="179" customFormat="1" ht="13.5" customHeight="1">
      <c r="A13" s="111"/>
      <c r="B13" s="111"/>
      <c r="C13" s="111"/>
      <c r="D13" s="111"/>
      <c r="E13" s="111"/>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row>
    <row r="14" spans="1:43" ht="13.5" customHeight="1">
      <c r="A14" s="335" t="str">
        <f>txt!B253&amp;" "&amp;txt!B255</f>
        <v>Sie sind am Ende der Umfrage angelangt. Vielen Dank für Ihre Teilnahme.</v>
      </c>
      <c r="B14" s="335"/>
      <c r="C14" s="335"/>
      <c r="D14" s="335"/>
      <c r="E14" s="335"/>
      <c r="F14" s="335"/>
      <c r="G14" s="335"/>
    </row>
    <row r="15" spans="1:43" ht="13.5" customHeight="1">
      <c r="A15" s="203"/>
      <c r="B15" s="204"/>
      <c r="C15" s="204"/>
      <c r="D15" s="204"/>
      <c r="E15" s="204"/>
      <c r="F15" s="204"/>
      <c r="G15" s="204"/>
    </row>
    <row r="16" spans="1:43" s="235" customFormat="1" ht="13.5" customHeight="1">
      <c r="A16" s="57" t="str">
        <f>txt!B254</f>
        <v>Bitte speichern Sie die Datei und senden Sie diese an:</v>
      </c>
      <c r="B16" s="57"/>
      <c r="C16" s="57"/>
      <c r="D16" s="57"/>
      <c r="E16" s="57"/>
      <c r="F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row>
    <row r="17" spans="1:7" ht="13.5" customHeight="1">
      <c r="A17" s="50" t="str">
        <f>txt!B16</f>
        <v>Alexia Messerli, Bundesamt für Statistik BFS, Neuenburg</v>
      </c>
      <c r="B17" s="50"/>
      <c r="C17" s="50"/>
      <c r="D17" s="50"/>
      <c r="E17" s="50"/>
      <c r="F17" s="50"/>
      <c r="G17" s="50"/>
    </row>
    <row r="18" spans="1:7" ht="13.5" customHeight="1">
      <c r="A18" s="50" t="str">
        <f>txt!B17</f>
        <v>E-Mail:    ppiprod@bfs.admin.ch</v>
      </c>
      <c r="B18" s="50"/>
      <c r="C18" s="50"/>
      <c r="D18" s="50"/>
      <c r="E18" s="50"/>
      <c r="F18" s="50"/>
      <c r="G18" s="50"/>
    </row>
    <row r="19" spans="1:7" s="50" customFormat="1"/>
    <row r="20" spans="1:7" s="50" customFormat="1" ht="12.95" customHeight="1">
      <c r="E20" s="303" t="str">
        <f>txt!$B$221</f>
        <v>ZURÜCK</v>
      </c>
      <c r="G20" s="231" t="str">
        <f>txt!$B$256</f>
        <v>Bitte speichern Sie die Datei</v>
      </c>
    </row>
    <row r="21" spans="1:7" s="50" customFormat="1"/>
    <row r="22" spans="1:7" s="50" customFormat="1"/>
    <row r="23" spans="1:7" s="50" customFormat="1"/>
    <row r="24" spans="1:7" s="50" customFormat="1"/>
    <row r="25" spans="1:7" s="50" customFormat="1"/>
    <row r="26" spans="1:7" s="50" customFormat="1"/>
    <row r="27" spans="1:7" s="50" customFormat="1"/>
    <row r="28" spans="1:7" s="50" customFormat="1"/>
    <row r="29" spans="1:7" s="50" customFormat="1"/>
    <row r="30" spans="1:7" s="50" customFormat="1"/>
    <row r="31" spans="1:7" s="50" customFormat="1"/>
    <row r="32" spans="1:7" s="50" customFormat="1"/>
    <row r="33" s="50" customFormat="1"/>
    <row r="34" s="50" customFormat="1"/>
    <row r="35" s="50" customFormat="1"/>
    <row r="36" s="50" customFormat="1"/>
    <row r="37" s="50" customFormat="1"/>
    <row r="38" s="50" customFormat="1"/>
    <row r="39" s="50" customFormat="1"/>
    <row r="40" s="50" customFormat="1"/>
    <row r="41" s="50" customFormat="1"/>
    <row r="42" s="50" customFormat="1"/>
    <row r="43" s="50" customFormat="1"/>
    <row r="44" s="50" customFormat="1"/>
    <row r="45" s="50" customFormat="1"/>
    <row r="46" s="50" customFormat="1"/>
    <row r="47" s="50" customFormat="1"/>
    <row r="48"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sheetData>
  <sheetProtection algorithmName="SHA-512" hashValue="EJHhuzVsF74+Wr5h/pRgpmqlKpGRXb4z+9XN9uJkZ+VgjpkdSzaaifjItPNzH/8fLUYQZicefLpgdu62rc6bJQ==" saltValue="UwelwGaMZCYGRQAQ3F/5KQ==" spinCount="100000" sheet="1" objects="1" scenarios="1"/>
  <mergeCells count="6">
    <mergeCell ref="A14:G14"/>
    <mergeCell ref="A12:G12"/>
    <mergeCell ref="A10:G10"/>
    <mergeCell ref="C1:E1"/>
    <mergeCell ref="C2:E2"/>
    <mergeCell ref="C3:E3"/>
  </mergeCells>
  <phoneticPr fontId="36" type="noConversion"/>
  <hyperlinks>
    <hyperlink ref="A18" r:id="rId1" display="mailto:ppiprod@bfs.admin.ch"/>
    <hyperlink ref="E20" location="'0'!A1" display="'0'!A1"/>
  </hyperlinks>
  <pageMargins left="0.74803149606299213" right="0.74803149606299213" top="0.39370078740157483" bottom="0.19685039370078741" header="0.51181102362204722" footer="0.51181102362204722"/>
  <pageSetup paperSize="9" scale="89" orientation="landscape" horizontalDpi="4294967292" verticalDpi="4294967292"/>
  <drawing r:id="rId2"/>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pageSetUpPr fitToPage="1"/>
  </sheetPr>
  <dimension ref="A1:AG61"/>
  <sheetViews>
    <sheetView workbookViewId="0">
      <selection activeCell="E2" sqref="E2"/>
    </sheetView>
  </sheetViews>
  <sheetFormatPr baseColWidth="10" defaultColWidth="10.6640625" defaultRowHeight="15"/>
  <cols>
    <col min="1" max="1" width="48.5546875" style="2" bestFit="1" customWidth="1"/>
    <col min="2" max="2" width="27.5546875" style="2" customWidth="1"/>
    <col min="3" max="3" width="17.88671875" style="2" bestFit="1" customWidth="1"/>
    <col min="4" max="4" width="7.33203125" style="2" bestFit="1" customWidth="1"/>
    <col min="5" max="5" width="20.6640625" style="2" bestFit="1" customWidth="1"/>
    <col min="6" max="6" width="11.33203125" style="2" bestFit="1" customWidth="1"/>
    <col min="7" max="7" width="3.88671875" style="2" bestFit="1" customWidth="1"/>
    <col min="8" max="8" width="2" style="2" bestFit="1" customWidth="1"/>
    <col min="9" max="9" width="18.109375" style="2" bestFit="1" customWidth="1"/>
    <col min="10" max="10" width="2" style="2" bestFit="1" customWidth="1"/>
    <col min="11" max="11" width="18.109375" style="2" bestFit="1" customWidth="1"/>
    <col min="12" max="12" width="2" style="2" bestFit="1" customWidth="1"/>
    <col min="13" max="13" width="18.109375" style="2" bestFit="1" customWidth="1"/>
    <col min="14" max="14" width="4.44140625" style="2" bestFit="1" customWidth="1"/>
    <col min="15" max="15" width="18.109375" style="2" bestFit="1" customWidth="1"/>
    <col min="16" max="16" width="2" style="2" bestFit="1" customWidth="1"/>
    <col min="17" max="17" width="13" style="2" bestFit="1" customWidth="1"/>
    <col min="18" max="18" width="10.6640625" style="2"/>
    <col min="19" max="19" width="3" style="2" bestFit="1" customWidth="1"/>
    <col min="20" max="20" width="3.88671875" style="2" bestFit="1" customWidth="1"/>
    <col min="21" max="21" width="3" style="2" bestFit="1" customWidth="1"/>
    <col min="22" max="22" width="5.33203125" style="2" customWidth="1"/>
    <col min="23" max="23" width="1.44140625" style="2" customWidth="1"/>
    <col min="24" max="24" width="3" style="2" bestFit="1" customWidth="1"/>
    <col min="25" max="25" width="3.88671875" style="2" bestFit="1" customWidth="1"/>
    <col min="26" max="26" width="3" style="2" bestFit="1" customWidth="1"/>
    <col min="27" max="27" width="5.33203125" style="2" customWidth="1"/>
    <col min="28" max="28" width="3.5546875" style="2" customWidth="1"/>
    <col min="29" max="29" width="3" style="2" bestFit="1" customWidth="1"/>
    <col min="30" max="30" width="3.88671875" style="2" bestFit="1" customWidth="1"/>
    <col min="31" max="31" width="3" style="2" bestFit="1" customWidth="1"/>
    <col min="32" max="32" width="5.44140625" style="2" bestFit="1" customWidth="1"/>
    <col min="33" max="33" width="5.44140625" style="2" customWidth="1"/>
    <col min="34" max="16384" width="10.6640625" style="2"/>
  </cols>
  <sheetData>
    <row r="1" spans="1:33" ht="15.75">
      <c r="A1" s="1" t="str">
        <f>"Umsatz (Rang = 1 bzw. Rang &lt;= 2 und Umsatz &gt;= "&amp;ROUND(B1/1000000,0)&amp;" Mio"</f>
        <v>Umsatz (Rang = 1 bzw. Rang &lt;= 2 und Umsatz &gt;= 2 Mio</v>
      </c>
      <c r="B1" s="207">
        <v>2000000</v>
      </c>
      <c r="E1" s="207">
        <v>500000000</v>
      </c>
    </row>
    <row r="2" spans="1:33" ht="45.75">
      <c r="A2" s="2">
        <f>IF('0'!D16="",0,IF(AND('0'!$D$11*'0'!D16&gt;=$B$1,RANK('0'!D16,'0'!$D$16:$D$22)&lt;=2),1,IF(RANK('0'!D16,'0'!$D$16:$D$22)=1,1,0)))</f>
        <v>0</v>
      </c>
      <c r="B2" s="5" t="s">
        <v>581</v>
      </c>
      <c r="S2" s="29">
        <f>$A$2</f>
        <v>0</v>
      </c>
      <c r="T2" s="29" t="s">
        <v>372</v>
      </c>
      <c r="U2" s="29">
        <f>$A$2*$A$3+$A$12*$A$13+$A$27*$A$28+$A$38*$A$39+1</f>
        <v>1</v>
      </c>
      <c r="V2" s="30">
        <f>S2/U2</f>
        <v>0</v>
      </c>
      <c r="W2" s="27"/>
    </row>
    <row r="3" spans="1:33" ht="31.5">
      <c r="A3" s="26">
        <v>6</v>
      </c>
      <c r="B3" s="17">
        <f>IF('1'!$C$13="",0,IF('0'!$D$11*'0'!$D$16*'1'!$C$13&gt;=$B$1,1,IF(RANK('1'!$C$13,'1'!$C$13:$C$15)=1,1,0)))</f>
        <v>0</v>
      </c>
      <c r="C3" s="9" t="s">
        <v>279</v>
      </c>
      <c r="D3" s="4"/>
      <c r="E3" s="5" t="s">
        <v>21</v>
      </c>
      <c r="H3" s="375" t="s">
        <v>22</v>
      </c>
      <c r="I3" s="375"/>
      <c r="J3" s="375" t="s">
        <v>23</v>
      </c>
      <c r="K3" s="375"/>
      <c r="L3" s="375" t="s">
        <v>24</v>
      </c>
      <c r="M3" s="375"/>
      <c r="N3" s="375" t="s">
        <v>25</v>
      </c>
      <c r="O3" s="375"/>
      <c r="P3" s="375" t="s">
        <v>26</v>
      </c>
      <c r="Q3" s="375"/>
      <c r="S3" s="9">
        <f>$A$2+$B$3</f>
        <v>0</v>
      </c>
      <c r="T3" s="9" t="s">
        <v>372</v>
      </c>
      <c r="U3" s="9">
        <f>$A$2+$A$2*($B$3+$B$8+$B$3*($C$4+$C$6+$E$4*$C$4+$E$6*$C$6)+$B$8*$C$9)+$A$12*$A$13+$A$27*$A$28+$A$38*$A$39+1</f>
        <v>1</v>
      </c>
      <c r="V3" s="31">
        <f>S3/U3</f>
        <v>0</v>
      </c>
      <c r="AB3" s="27"/>
      <c r="AC3" s="27"/>
      <c r="AD3" s="27"/>
      <c r="AE3" s="27"/>
      <c r="AF3" s="27"/>
      <c r="AG3" s="27"/>
    </row>
    <row r="4" spans="1:33" ht="15.75">
      <c r="C4" s="17">
        <f>IF('101'!C12="",0,1)</f>
        <v>0</v>
      </c>
      <c r="D4" s="13" t="s">
        <v>281</v>
      </c>
      <c r="E4" s="17">
        <f>IF('0'!$D$11*'0'!$D$16*'1'!$C$13*'1'!$E$13&gt;=$E$1,1,0)</f>
        <v>0</v>
      </c>
      <c r="F4" s="13" t="s">
        <v>282</v>
      </c>
      <c r="G4" s="2" t="s">
        <v>27</v>
      </c>
      <c r="H4" s="2">
        <f>$B$8</f>
        <v>0</v>
      </c>
      <c r="I4" s="9">
        <v>102</v>
      </c>
      <c r="J4" s="2">
        <f>$A$12</f>
        <v>0</v>
      </c>
      <c r="K4" s="6">
        <v>2</v>
      </c>
      <c r="L4" s="2">
        <f>$A$27</f>
        <v>0</v>
      </c>
      <c r="M4" s="7">
        <v>3</v>
      </c>
      <c r="N4" s="2">
        <f t="shared" ref="N4:N7" si="0">$A$38</f>
        <v>0</v>
      </c>
      <c r="O4" s="8">
        <v>4</v>
      </c>
      <c r="P4" s="2">
        <v>1</v>
      </c>
      <c r="Q4" s="25">
        <v>5</v>
      </c>
      <c r="V4" s="28"/>
      <c r="W4" s="28"/>
      <c r="X4" s="13">
        <f>$A$2+$A$2*($B$3+$B$3*($C$4))</f>
        <v>0</v>
      </c>
      <c r="Y4" s="13" t="s">
        <v>372</v>
      </c>
      <c r="Z4" s="13">
        <f>$A$2+$A$2*($B$3+$B$8+$B$3*($C$4+$C$6+$E$4*$C$4+$E$6*$C$6)+$B$8*$C$9)+$A$12*$A$13+$A$27*$A$28+$A$38*$A$39+1</f>
        <v>1</v>
      </c>
      <c r="AA4" s="32">
        <f>X4/Z4</f>
        <v>0</v>
      </c>
      <c r="AC4" s="13">
        <f>$A$2+$A$2*($B$3+$B$3*($C$4+$E$4*$C$4))</f>
        <v>0</v>
      </c>
      <c r="AD4" s="13" t="s">
        <v>372</v>
      </c>
      <c r="AE4" s="13">
        <f>$A$2+$A$2*($B$3+$B$8+$B$3*($C$4+$C$6+$E$4*$C$4+$E$6*$C$6)+$B$8*$C$9)+$A$12*$A$13+$A$27*$A$28+$A$38*$A$39+1</f>
        <v>1</v>
      </c>
      <c r="AF4" s="32">
        <f>AC4/AE4</f>
        <v>0</v>
      </c>
      <c r="AG4" s="28"/>
    </row>
    <row r="5" spans="1:33" ht="15.75">
      <c r="E5" s="2">
        <f>IF(E4=1,0,1)</f>
        <v>1</v>
      </c>
      <c r="F5" s="2" t="s">
        <v>27</v>
      </c>
      <c r="H5" s="2">
        <f>$B$8</f>
        <v>0</v>
      </c>
      <c r="I5" s="9">
        <v>102</v>
      </c>
      <c r="J5" s="2">
        <f>$A$12</f>
        <v>0</v>
      </c>
      <c r="K5" s="6">
        <v>2</v>
      </c>
      <c r="L5" s="2">
        <f>$A$27</f>
        <v>0</v>
      </c>
      <c r="M5" s="7">
        <v>3</v>
      </c>
      <c r="N5" s="2">
        <f t="shared" si="0"/>
        <v>0</v>
      </c>
      <c r="O5" s="8">
        <v>4</v>
      </c>
      <c r="P5" s="2">
        <v>1</v>
      </c>
      <c r="Q5" s="25">
        <v>5</v>
      </c>
    </row>
    <row r="6" spans="1:33" ht="15.75">
      <c r="C6" s="2">
        <f>IF(C4=1,0,1)</f>
        <v>1</v>
      </c>
      <c r="D6" s="212" t="s">
        <v>607</v>
      </c>
      <c r="E6" s="17">
        <f>E4</f>
        <v>0</v>
      </c>
      <c r="F6" s="212" t="s">
        <v>608</v>
      </c>
      <c r="G6" s="2" t="s">
        <v>27</v>
      </c>
      <c r="H6" s="2">
        <f>$B$8</f>
        <v>0</v>
      </c>
      <c r="I6" s="9">
        <v>102</v>
      </c>
      <c r="J6" s="2">
        <f>$A$12</f>
        <v>0</v>
      </c>
      <c r="K6" s="6">
        <v>2</v>
      </c>
      <c r="L6" s="2">
        <f>$A$27</f>
        <v>0</v>
      </c>
      <c r="M6" s="7">
        <v>3</v>
      </c>
      <c r="N6" s="2">
        <f t="shared" si="0"/>
        <v>0</v>
      </c>
      <c r="O6" s="8">
        <v>4</v>
      </c>
      <c r="P6" s="2">
        <v>1</v>
      </c>
      <c r="Q6" s="25">
        <v>5</v>
      </c>
      <c r="X6" s="13">
        <f>$A$2+$A$2*($B$3+$B$3*($C$4+$C$6+$E$4*$C$4))</f>
        <v>0</v>
      </c>
      <c r="Y6" s="13" t="s">
        <v>372</v>
      </c>
      <c r="Z6" s="13">
        <f>$A$2+$A$2*($B$3+$B$8+$B$3*($C$4+$C$6+$E$4*$C$4+$E$6*$C$6)+$B$8*$C$9)+$A$12*$A$13+$A$27*$A$28+$A$38*$A$39+1</f>
        <v>1</v>
      </c>
      <c r="AA6" s="32">
        <f>X6/Z6</f>
        <v>0</v>
      </c>
      <c r="AC6" s="13">
        <f>$A$2+$A$2*($B$3+$B$3*($C$4+$E$4*$C$4+$C$6+$C$6*$E$6))</f>
        <v>0</v>
      </c>
      <c r="AD6" s="13" t="s">
        <v>372</v>
      </c>
      <c r="AE6" s="13">
        <f>$A$2+$A$2*($B$3+$B$8+$B$3*($C$4+$C$6+$E$4*$C$4+$E$6*$C$6)+$B$8*$C$9)+$A$12*$A$13+$A$27*$A$28+$A$38*$A$39+1</f>
        <v>1</v>
      </c>
      <c r="AF6" s="32">
        <f>AC6/AE6</f>
        <v>0</v>
      </c>
    </row>
    <row r="7" spans="1:33" ht="15.75">
      <c r="E7" s="2">
        <f>IF(E6=1,0,1)</f>
        <v>1</v>
      </c>
      <c r="F7" s="2" t="s">
        <v>27</v>
      </c>
      <c r="G7" s="2" t="s">
        <v>27</v>
      </c>
      <c r="H7" s="2">
        <f>$B$8</f>
        <v>0</v>
      </c>
      <c r="I7" s="9">
        <v>102</v>
      </c>
      <c r="J7" s="2">
        <f>$A$12</f>
        <v>0</v>
      </c>
      <c r="K7" s="6">
        <v>2</v>
      </c>
      <c r="L7" s="2">
        <f>$A$27</f>
        <v>0</v>
      </c>
      <c r="M7" s="7">
        <v>3</v>
      </c>
      <c r="N7" s="2">
        <f t="shared" si="0"/>
        <v>0</v>
      </c>
      <c r="O7" s="8">
        <v>4</v>
      </c>
      <c r="P7" s="2">
        <v>1</v>
      </c>
      <c r="Q7" s="25">
        <v>5</v>
      </c>
    </row>
    <row r="8" spans="1:33" ht="31.5">
      <c r="B8" s="17">
        <f>IF('1'!$C$15="",0,IF('0'!$D$11*'0'!$D$16*'1'!$C$15&gt;=$B$1,1,IF(RANK('1'!$C$15,'1'!$C$13:$C$15)=1,1,0)))</f>
        <v>0</v>
      </c>
      <c r="C8" s="9" t="s">
        <v>280</v>
      </c>
      <c r="D8" s="4"/>
      <c r="E8" s="5" t="s">
        <v>21</v>
      </c>
      <c r="S8" s="9">
        <f>$A$2+$A$2*($B$3+$B$8+$B$3*($C$4+$C$6+$E$4*$C$4+$E$6*$C$6))</f>
        <v>0</v>
      </c>
      <c r="T8" s="9" t="s">
        <v>372</v>
      </c>
      <c r="U8" s="9">
        <f>$A$2+$A$2*($B$3+$B$8+$B$3*($C$4+$C$6+$E$4*$C$4+$E$6*C$6)+$B$8*$C$9)+$A$12*$A$13+$A$27*$A$28+$A$38*$A$39+1</f>
        <v>1</v>
      </c>
      <c r="V8" s="31">
        <f>S8/U8</f>
        <v>0</v>
      </c>
      <c r="X8" s="13">
        <f>$A$2+$A$2*($B$3+$B$8+$B$3*($C$4+$C$6+$E$4*$C$4+$C$6*$E$6)+$B$8*$C$9)</f>
        <v>0</v>
      </c>
      <c r="Y8" s="13" t="s">
        <v>372</v>
      </c>
      <c r="Z8" s="13">
        <f>$A$2+$A$2*($B$3+$B$8+$B$3*($C$4+$C$6+$E$4*$C$4+$E$6*$C$6)+$B$8*$C$9)+$A$12*$A$13+$A$27*$A$28+$A$38*$A$39+1</f>
        <v>1</v>
      </c>
      <c r="AA8" s="32">
        <f>X8/Z8</f>
        <v>0</v>
      </c>
    </row>
    <row r="9" spans="1:33" ht="15.75">
      <c r="C9" s="2">
        <f>IF(B8=1,1,0)</f>
        <v>0</v>
      </c>
      <c r="D9" s="13" t="s">
        <v>283</v>
      </c>
      <c r="E9" s="17">
        <f>IF('0'!$D$11*'0'!$D$16*'1'!$C$15*'1'!$E$15&gt;=$E$1,1,0)</f>
        <v>0</v>
      </c>
      <c r="F9" s="2" t="s">
        <v>28</v>
      </c>
      <c r="G9" s="2" t="s">
        <v>27</v>
      </c>
      <c r="H9" s="2">
        <f>$A$12</f>
        <v>0</v>
      </c>
      <c r="I9" s="6">
        <v>2</v>
      </c>
      <c r="J9" s="2">
        <f t="shared" ref="J9:J10" si="1">$A$27</f>
        <v>0</v>
      </c>
      <c r="K9" s="7">
        <v>3</v>
      </c>
      <c r="L9" s="2">
        <f t="shared" ref="L9:L10" si="2">$A$38</f>
        <v>0</v>
      </c>
      <c r="M9" s="8">
        <v>4</v>
      </c>
      <c r="N9" s="2">
        <v>1</v>
      </c>
      <c r="O9" s="25">
        <v>5</v>
      </c>
    </row>
    <row r="10" spans="1:33" ht="15.75">
      <c r="E10" s="2">
        <f>IF(E9=1,0,1)</f>
        <v>1</v>
      </c>
      <c r="F10" s="2" t="s">
        <v>29</v>
      </c>
      <c r="G10" s="2" t="s">
        <v>27</v>
      </c>
      <c r="H10" s="2">
        <f>$A$12</f>
        <v>0</v>
      </c>
      <c r="I10" s="6">
        <v>2</v>
      </c>
      <c r="J10" s="2">
        <f t="shared" si="1"/>
        <v>0</v>
      </c>
      <c r="K10" s="7">
        <v>3</v>
      </c>
      <c r="L10" s="2">
        <f t="shared" si="2"/>
        <v>0</v>
      </c>
      <c r="M10" s="8">
        <v>4</v>
      </c>
      <c r="N10" s="2">
        <v>1</v>
      </c>
      <c r="O10" s="25">
        <v>5</v>
      </c>
    </row>
    <row r="12" spans="1:33" ht="45.75">
      <c r="A12" s="2">
        <f>IF('0'!D18="",0,IF(AND('0'!$D$11*'0'!D18&gt;=$B$1,RANK('0'!D18,'0'!$D$16:$D$22)&lt;=2),1,IF(RANK('0'!D18,'0'!$D$16:$D$22)=1,1,0)))</f>
        <v>0</v>
      </c>
      <c r="B12" s="6" t="s">
        <v>582</v>
      </c>
      <c r="S12" s="33">
        <f>$A$12+($A$2+$A$2*($B$3+$B$8+$B$3*($C$4+$C$6+$E$4*$C$4)+$B$8*$C$9))</f>
        <v>0</v>
      </c>
      <c r="T12" s="34" t="s">
        <v>372</v>
      </c>
      <c r="U12" s="33">
        <f>$A$2+$A$2*($B$3+$B$8+$B$3*($C$4+$C$6+$E$4*$C$4+$E$6*$C$6)+$B$8*$C$9)+$A$12*$A$13+$A$27*$A$28+$A$38*$A$39+1</f>
        <v>1</v>
      </c>
      <c r="V12" s="35">
        <f>S12/U12</f>
        <v>0</v>
      </c>
      <c r="W12" s="27"/>
    </row>
    <row r="13" spans="1:33" ht="31.5">
      <c r="A13" s="1">
        <v>10</v>
      </c>
      <c r="B13" s="17">
        <f>IF('2'!$C$13="",0,IF('0'!$D$11*'0'!$D$18*'2'!$C$13&gt;=$B$1,1,IF(RANK('2'!$C$13,'2'!$C$13:$C$17)=1,1,0)))</f>
        <v>0</v>
      </c>
      <c r="C13" s="10" t="s">
        <v>276</v>
      </c>
      <c r="E13" s="6" t="s">
        <v>30</v>
      </c>
      <c r="H13" s="375" t="s">
        <v>22</v>
      </c>
      <c r="I13" s="375"/>
      <c r="J13" s="375" t="s">
        <v>23</v>
      </c>
      <c r="K13" s="375"/>
      <c r="L13" s="375" t="s">
        <v>24</v>
      </c>
      <c r="M13" s="375"/>
      <c r="N13" s="375" t="s">
        <v>25</v>
      </c>
      <c r="O13" s="375"/>
      <c r="P13" s="375" t="s">
        <v>26</v>
      </c>
      <c r="Q13" s="375"/>
      <c r="S13" s="10">
        <f>$A$12+$B$13+($A$2+$A$2*($B$3+$B$8+$B$3*($C$4+$C$6+$E$4*$C$4)+$B$8*$C$9))</f>
        <v>0</v>
      </c>
      <c r="T13" s="36" t="s">
        <v>372</v>
      </c>
      <c r="U13" s="10">
        <f>$A$2+$A$2*($B$3+$B$8+$B$3*($C$4+$C$6+$E$4*$C$4+$E$6*$C$6)+$B$8*$C$9)+$A$12+$A$12*($B$13+$B$17+$B$21+$B$13*$C$14+$B$13*$C$14*$E$14+$B$17*$C$18+$B$17*$C$18*$E$18+$B$21*($C$22+$C$22*$E$22+$C$24))+$A$27*$A$28+$A$38*$A$39+1</f>
        <v>1</v>
      </c>
      <c r="V13" s="37">
        <f>S13/U13</f>
        <v>0</v>
      </c>
    </row>
    <row r="14" spans="1:33" ht="15.75">
      <c r="C14" s="2">
        <f>IF(B13=1,1,0)</f>
        <v>0</v>
      </c>
      <c r="D14" s="213" t="s">
        <v>611</v>
      </c>
      <c r="E14" s="17">
        <f>IF('0'!$D$11*'0'!$D$18*'2'!$C$13*'2'!$E$13&gt;=$E$1,1,0)</f>
        <v>0</v>
      </c>
      <c r="F14" s="213" t="s">
        <v>611</v>
      </c>
      <c r="G14" s="2" t="s">
        <v>27</v>
      </c>
      <c r="H14" s="2">
        <f>$B$17</f>
        <v>0</v>
      </c>
      <c r="I14" s="10">
        <v>202</v>
      </c>
      <c r="J14" s="2">
        <f t="shared" ref="J14:J15" si="3">$B$21</f>
        <v>0</v>
      </c>
      <c r="K14" s="10">
        <v>203</v>
      </c>
      <c r="L14" s="2">
        <f t="shared" ref="L14:L15" si="4">$A$27</f>
        <v>0</v>
      </c>
      <c r="M14" s="7">
        <v>3</v>
      </c>
      <c r="N14" s="2">
        <f>$A$38</f>
        <v>0</v>
      </c>
      <c r="O14" s="8">
        <v>4</v>
      </c>
      <c r="P14" s="2">
        <v>1</v>
      </c>
      <c r="Q14" s="25">
        <v>5</v>
      </c>
      <c r="X14" s="14">
        <f>$A$12+$A$12*($B$13+$B$13*$C$14)+($A$2+$A$2*($B$3+$B$8+$B$3*($C$4+$C$6+$E$4*$C$4)+$B$8*$C$9))</f>
        <v>0</v>
      </c>
      <c r="Y14" s="14" t="s">
        <v>372</v>
      </c>
      <c r="Z14" s="38">
        <f>$A$2+$A$2*($B$3+$B$8+$B$3*($C$4+$C$6+$E$4*$C$4+$E$6*$C$6)+$B$8*$C$9)+$A$12+$A$12*($B$13+$B$17+$B$21+$B$13*$C$14+$B$13*$C$14*$E$14+$B$17*$C$18+$B$17*$C$18*$E$18+$B$21*($C$22+$C$22*$E$22+$C$24))+$A$27*$A$28+$A$38*$A$39+1</f>
        <v>1</v>
      </c>
      <c r="AA14" s="39">
        <f>X14/Z14</f>
        <v>0</v>
      </c>
      <c r="AC14" s="14">
        <f>$A$12+$A$12*($B$13+$B$13*$C$14+$B$13*$C$14*$E$14)+($A$2+$A$2*($B$3+$B$8+$B$3*($C$4+$C$6+$E$4*$C$4)+$B$8*$C$9))</f>
        <v>0</v>
      </c>
      <c r="AD14" s="14" t="s">
        <v>372</v>
      </c>
      <c r="AE14" s="38">
        <f>$A$2+$A$2*($B$3+$B$8+$B$3*($C$4+$C$6+$E$4*$C$4+$E$6*$C$6)+$B$8*$C$9)+$A$12+$A$12*($B$13+$B$17+$B$21+$B$13*$C$14+$B$13*$C$14*$E$14+$B$17*$C$18+$B$17*$C$18*$E$18+$B$21*($C$22+$C$22*$E$22+$C$24))+$A$27*$A$28+$A$38*$A$39+1</f>
        <v>1</v>
      </c>
      <c r="AF14" s="39">
        <f>AC14/AE14</f>
        <v>0</v>
      </c>
    </row>
    <row r="15" spans="1:33" ht="15.75">
      <c r="E15" s="2">
        <f>IF(E14=1,0,1)</f>
        <v>1</v>
      </c>
      <c r="F15" s="2" t="s">
        <v>27</v>
      </c>
      <c r="G15" s="2" t="s">
        <v>27</v>
      </c>
      <c r="H15" s="2">
        <f>$B$17</f>
        <v>0</v>
      </c>
      <c r="I15" s="10">
        <v>202</v>
      </c>
      <c r="J15" s="2">
        <f t="shared" si="3"/>
        <v>0</v>
      </c>
      <c r="K15" s="10">
        <v>203</v>
      </c>
      <c r="L15" s="2">
        <f t="shared" si="4"/>
        <v>0</v>
      </c>
      <c r="M15" s="7">
        <v>3</v>
      </c>
      <c r="N15" s="2">
        <f>$A$38</f>
        <v>0</v>
      </c>
      <c r="O15" s="8">
        <v>4</v>
      </c>
      <c r="P15" s="2">
        <v>1</v>
      </c>
      <c r="Q15" s="25">
        <v>5</v>
      </c>
    </row>
    <row r="17" spans="1:32" ht="31.5">
      <c r="B17" s="17">
        <f>IF('2'!$C$15="",0,IF('0'!$D$11*'0'!$D$18*'2'!$C$15&gt;=$B$1,1,IF(RANK('2'!$C$15,'2'!$C$13:$C$17)=1,1,0)))</f>
        <v>0</v>
      </c>
      <c r="C17" s="10" t="s">
        <v>277</v>
      </c>
      <c r="E17" s="6" t="s">
        <v>30</v>
      </c>
      <c r="S17" s="10">
        <f>$A$12+$A$12*($B$13+$B$17+$B$13*$C$14+$B$13*$C$14*$E$14)+($A$2+$A$2*($B$3+$B$8+$B$3*($C$4+$C$6+$E$4*$C$4)+$B$8*$C$9))</f>
        <v>0</v>
      </c>
      <c r="T17" s="36" t="s">
        <v>372</v>
      </c>
      <c r="U17" s="10">
        <f>$A$2+$A$2*($B$3+$B$8+$B$3*($C$4+$C$6+$E$4*$C$4+$E$6*$C$6)+$B$8*$C$9)+$A$12+$A$12*($B$13+$B$17+$B$21+$B$13*$C$14+$B$13*$C$14*$E$14+$B$17*$C$18+$B$17*$C$18*$E$18+$B$21*($C$22+$C$22*$E$22+$C$24))+$A$27*$A$28+$A$38*$A$39+1</f>
        <v>1</v>
      </c>
      <c r="V17" s="37">
        <f>S17/U17</f>
        <v>0</v>
      </c>
    </row>
    <row r="18" spans="1:32" ht="15.75">
      <c r="C18" s="2">
        <f>IF(B17=1,1,0)</f>
        <v>0</v>
      </c>
      <c r="D18" s="213" t="s">
        <v>609</v>
      </c>
      <c r="E18" s="17">
        <f>IF('0'!$D$11*'0'!$D$18*'2'!$C$15*'2'!$E$15&gt;=$E$1,1,0)</f>
        <v>0</v>
      </c>
      <c r="F18" s="213" t="s">
        <v>599</v>
      </c>
      <c r="G18" s="2" t="s">
        <v>27</v>
      </c>
      <c r="H18" s="2">
        <f>$B$21</f>
        <v>0</v>
      </c>
      <c r="I18" s="10">
        <v>203</v>
      </c>
      <c r="J18" s="2">
        <f t="shared" ref="J18:J19" si="5">$A$27</f>
        <v>0</v>
      </c>
      <c r="K18" s="7">
        <v>3</v>
      </c>
      <c r="L18" s="2">
        <f>$A$38</f>
        <v>0</v>
      </c>
      <c r="M18" s="8">
        <v>4</v>
      </c>
      <c r="N18" s="2">
        <v>1</v>
      </c>
      <c r="O18" s="25">
        <v>5</v>
      </c>
      <c r="X18" s="14">
        <f>$A$12+$A$12*($B$13+$B$17+$B$13*$C$14+$B$13*$C$14*$E$14+$B$17*$C$18)+($A$2+$A$2*($B$3+$B$8+$B$3*($C$4+$C$6+$E$4*$C$4)+$B$8*$C$9))</f>
        <v>0</v>
      </c>
      <c r="Y18" s="14" t="s">
        <v>372</v>
      </c>
      <c r="Z18" s="38">
        <f>$A$2+$A$2*($B$3+$B$8+$B$3*($C$4+$C$6+$E$4*$C$4+$E$6*$C$6)+$B$8*$C$9)+$A$12+$A$12*($B$13+$B$17+$B$21+$B$13*$C$14+$B$13*$C$14*$E$14+$B$17*$C$18+$B$17*$C$18*$E$18+$B$21*($C$22+$C$22*$E$22+$C$24))+$A$27*$A$28+$A$38*$A$39+1</f>
        <v>1</v>
      </c>
      <c r="AA18" s="39">
        <f>X18/Z18</f>
        <v>0</v>
      </c>
      <c r="AC18" s="14">
        <f>$A$12+$A$12*($B$13+$B$17+$B$13*$C$14+$B$13*$C$14*$E$14+$B$17*$C$18+$B$17*$C$18*$E$18)+($A$2+$A$2*($B$3+$B$8+$B$3*($C$4+$C$6+$E$4*$C$4)+$B$8*$C$9))</f>
        <v>0</v>
      </c>
      <c r="AD18" s="14" t="s">
        <v>372</v>
      </c>
      <c r="AE18" s="38">
        <f>$A$2+$A$2*($B$3+$B$8+$B$3*($C$4+$C$6+$E$4*$C$4+$E$6*$C$6)+$B$8*$C$9)+$A$12+$A$12*($B$13+$B$17+$B$21+$B$13*$C$14+$B$13*$C$14*$E$14+$B$17*$C$18+$B$17*$C$18*$E$18+$B$21*($C$22+$C$22*$E$22+$C$24))+$A$27*$A$28+$A$38*$A$39+1</f>
        <v>1</v>
      </c>
      <c r="AF18" s="39">
        <f>AC18/AE18</f>
        <v>0</v>
      </c>
    </row>
    <row r="19" spans="1:32" ht="15.75">
      <c r="E19" s="2">
        <f>IF(E18=1,0,1)</f>
        <v>1</v>
      </c>
      <c r="F19" s="2" t="s">
        <v>27</v>
      </c>
      <c r="G19" s="2" t="s">
        <v>27</v>
      </c>
      <c r="H19" s="2">
        <f>$B$21</f>
        <v>0</v>
      </c>
      <c r="I19" s="10">
        <v>203</v>
      </c>
      <c r="J19" s="2">
        <f t="shared" si="5"/>
        <v>0</v>
      </c>
      <c r="K19" s="7">
        <v>3</v>
      </c>
      <c r="L19" s="2">
        <f>$A$38</f>
        <v>0</v>
      </c>
      <c r="M19" s="8">
        <v>4</v>
      </c>
      <c r="N19" s="2">
        <v>1</v>
      </c>
      <c r="O19" s="25">
        <v>5</v>
      </c>
    </row>
    <row r="21" spans="1:32" ht="31.5">
      <c r="B21" s="17">
        <f>IF('2'!$C$17="",0,IF('0'!$D$11*'0'!$D$18*'2'!$C$17&gt;=$B$1,1,IF(RANK('2'!$C$17,'2'!$C$13:$C$17)=1,1,0)))</f>
        <v>0</v>
      </c>
      <c r="C21" s="10" t="s">
        <v>278</v>
      </c>
      <c r="E21" s="6" t="s">
        <v>30</v>
      </c>
      <c r="S21" s="10">
        <f>$A$12+$A$12*($B$13+$B$17+$B$21+$B$13*$C$14+$B$13*$C$14*$E$14+$B$17*$C$18+$B$17*$C$18*$E$18)+($A$2+$A$2*($B$3+$B$8+$B$3*($C$4+$C$6+$E$4*$C$4)+$B$8*$C$9))</f>
        <v>0</v>
      </c>
      <c r="T21" s="36" t="s">
        <v>372</v>
      </c>
      <c r="U21" s="10">
        <f>$A$2+$A$2*($B$3+$B$8+$B$3*($C$4+$C$6+$E$4*$C$4+$E$6*$C$6)+$B$8*$C$9)+$A$12+$A$12*($B$13+$B$17+$B$21+$B$13*$C$14+$B$13*$C$14*$E$14+$B$17*$C$18+$B$17*$C$18*$E$18+$B$21*($C$22+$C$22*$E$22+$C$24))+$A$27*$A$28+$A$38*$A$39+1</f>
        <v>1</v>
      </c>
      <c r="V21" s="37">
        <f>S21/U21</f>
        <v>0</v>
      </c>
    </row>
    <row r="22" spans="1:32" ht="15.75">
      <c r="C22" s="17">
        <f>IF('203'!C12="",0,1)</f>
        <v>0</v>
      </c>
      <c r="D22" s="213" t="s">
        <v>610</v>
      </c>
      <c r="E22" s="17">
        <f>IF('0'!$D$11*'0'!$D$18*'2'!$C$17*'2'!$E$17&gt;=$E$1,1,0)</f>
        <v>0</v>
      </c>
      <c r="F22" s="213" t="s">
        <v>601</v>
      </c>
      <c r="G22" s="2" t="s">
        <v>27</v>
      </c>
      <c r="H22" s="2">
        <f t="shared" ref="H22:H25" si="6">$A$27</f>
        <v>0</v>
      </c>
      <c r="I22" s="7">
        <v>3</v>
      </c>
      <c r="J22" s="2">
        <f t="shared" ref="J22:J25" si="7">$A$38</f>
        <v>0</v>
      </c>
      <c r="K22" s="8">
        <v>4</v>
      </c>
      <c r="L22" s="2">
        <v>1</v>
      </c>
      <c r="M22" s="25">
        <v>5</v>
      </c>
      <c r="X22" s="14">
        <f>$A$12+$A$12*($B$13+$B$17+$B$21+$B$13*$C$14+$B$13*$C$14*$E$14+$B$17*$C$18+$B$17*$C$18*$E$18+$B$21*($C$22))+($A$2+$A$2*($B$3+$B$8+$B$3*($C$4+$C$6+$E$4*$C$4)+$B$8*$C$9))</f>
        <v>0</v>
      </c>
      <c r="Y22" s="14" t="s">
        <v>372</v>
      </c>
      <c r="Z22" s="38">
        <f>$A$2+$A$2*($B$3+$B$8+$B$3*($C$4+$C$6+$E$4*$C$4+$E$6*$C$6)+$B$8*$C$9)+$A$12+$A$12*($B$13+$B$17+$B$21+$B$13*$C$14+$B$13*$C$14*$E$14+$B$17*$C$18+$B$17*$C$18*$E$18+$B$21*($C$22+$C$22*$E$22+$C$24))+$A$27*$A$28+$A$38*$A$39+1</f>
        <v>1</v>
      </c>
      <c r="AA22" s="39">
        <f>X22/Z22</f>
        <v>0</v>
      </c>
      <c r="AC22" s="14">
        <f>$A$12+$A$12*($B$13+$B$17+$B$21+$B$13*$C$14+$B$13*$C$14*$E$14+$B$17*$C$18+$B$17*$C$18*$E$18+$B$21*($C$22+$C$22*$E$22))+($A$2+$A$2*($B$3+$B$8+$B$3*($C$4+$C$6+$E$4*$C$4)+$B$8*$C$9))</f>
        <v>0</v>
      </c>
      <c r="AD22" s="14" t="s">
        <v>372</v>
      </c>
      <c r="AE22" s="38">
        <f>$A$2+$A$2*($B$3+$B$8+$B$3*($C$4+$C$6+$E$4*$C$4+$E$6*$C$6)+$B$8*$C$9)+$A$12+$A$12*($B$13+$B$17+$B$21+$B$13*$C$14+$B$13*$C$14*$E$14+$B$17*$C$18+$B$17*$C$18*$E$18+$B$21*($C$22+$C$22*$E$22+$C$24))+$A$27*$A$28+$A$38*$A$39+1</f>
        <v>1</v>
      </c>
      <c r="AF22" s="39">
        <f>AC22/AE22</f>
        <v>0</v>
      </c>
    </row>
    <row r="23" spans="1:32" ht="15.75">
      <c r="E23" s="2">
        <f>IF(E22=1,0,1)</f>
        <v>1</v>
      </c>
      <c r="F23" s="2" t="s">
        <v>27</v>
      </c>
      <c r="G23" s="2" t="s">
        <v>27</v>
      </c>
      <c r="H23" s="2">
        <f t="shared" si="6"/>
        <v>0</v>
      </c>
      <c r="I23" s="7">
        <v>3</v>
      </c>
      <c r="J23" s="2">
        <f t="shared" si="7"/>
        <v>0</v>
      </c>
      <c r="K23" s="8">
        <v>4</v>
      </c>
      <c r="L23" s="2">
        <v>1</v>
      </c>
      <c r="M23" s="25">
        <v>5</v>
      </c>
    </row>
    <row r="24" spans="1:32" ht="15.75">
      <c r="C24" s="2">
        <f>IF(C22=1,0,1)</f>
        <v>1</v>
      </c>
      <c r="D24" s="14" t="s">
        <v>306</v>
      </c>
      <c r="E24" s="17">
        <f>E22</f>
        <v>0</v>
      </c>
      <c r="F24" s="2" t="s">
        <v>28</v>
      </c>
      <c r="G24" s="2" t="s">
        <v>27</v>
      </c>
      <c r="H24" s="2">
        <f t="shared" si="6"/>
        <v>0</v>
      </c>
      <c r="I24" s="7">
        <v>3</v>
      </c>
      <c r="J24" s="2">
        <f t="shared" si="7"/>
        <v>0</v>
      </c>
      <c r="K24" s="8">
        <v>4</v>
      </c>
      <c r="L24" s="2">
        <v>1</v>
      </c>
      <c r="M24" s="25">
        <v>5</v>
      </c>
      <c r="X24" s="14">
        <f>$A$12+$A$12*($B$13+$B$17+$B$21+$B$13*$C$14+$B$13*$C$14*$E$14+$B$17*$C$18+$B$17*$C$18*$E$18+$B$21*($C$22+$C$22*$E$22+$C$24))+($A$2+$A$2*($B$3+$B$8+$B$3*($C$4+$C$6+$E$4*$C$4)+$B$8*$C$9))</f>
        <v>0</v>
      </c>
      <c r="Y24" s="14" t="s">
        <v>372</v>
      </c>
      <c r="Z24" s="38">
        <f>$A$2+$A$2*($B$3+$B$8+$B$3*($C$4+$C$6+$E$4*$C$4+$E$6*$C$6)+$B$8*$C$9)+$A$12+$A$12*($B$13+$B$17+$B$21+$B$13*$C$14+$B$13*$C$14*$E$14+$B$17*$C$18+$B$17*$C$18*$E$18+$B$21*($C$22+$C$22*$E$22+$C$24))+$A$27*$A$28+$A$38*$A$39+1</f>
        <v>1</v>
      </c>
      <c r="AA24" s="39">
        <f>X24/Z24</f>
        <v>0</v>
      </c>
    </row>
    <row r="25" spans="1:32" ht="15.75">
      <c r="E25" s="2">
        <f>IF(E24=1,0,1)</f>
        <v>1</v>
      </c>
      <c r="F25" s="2" t="s">
        <v>29</v>
      </c>
      <c r="G25" s="2" t="s">
        <v>27</v>
      </c>
      <c r="H25" s="2">
        <f t="shared" si="6"/>
        <v>0</v>
      </c>
      <c r="I25" s="7">
        <v>3</v>
      </c>
      <c r="J25" s="2">
        <f t="shared" si="7"/>
        <v>0</v>
      </c>
      <c r="K25" s="8">
        <v>4</v>
      </c>
      <c r="L25" s="2">
        <v>1</v>
      </c>
      <c r="M25" s="25">
        <v>5</v>
      </c>
    </row>
    <row r="27" spans="1:32" ht="46.5">
      <c r="A27" s="2">
        <f>IF('0'!D20="",0,IF(AND('0'!$D$11*'0'!D20&gt;=$B$1,RANK('0'!D20,'0'!$D$16:$D$22)&lt;=2),1,IF(RANK('0'!D20,'0'!$D$16:$D$22)=1,1,0)))</f>
        <v>0</v>
      </c>
      <c r="B27" s="7" t="s">
        <v>583</v>
      </c>
      <c r="E27" s="3"/>
      <c r="S27" s="40">
        <f>$A$27+$A$12+$A$12*($B$13+$B$17+$B$21+$B$13*$C$14+$B$17*$C$18+$B$21*($C$22+$C$24))+($A$2+$A$2*($B$3+$B$8+$B$3*($C$4+$C$6+$E$4*$C$4)+$B$8*$C$9))</f>
        <v>0</v>
      </c>
      <c r="T27" s="40" t="s">
        <v>372</v>
      </c>
      <c r="U27" s="40">
        <f>$A$2+$A$2*($B$3+$B$8+$B$3*($C$4+$C$6+$E$4*$C$4+$C$6*$E$6)+$B$8*$C$9)+$A$12+$A$12*($B$13+$B$17+$B$21+$B$13*$C$14+$B$13*$C$14*$E$14+$B$17*$C$18+$B$17*$C$18*$E$18+$B$21*($C$22+$C$22*$E$22+$C$24))+$A$27+$A$27*(1+$B$29*($C$29+$C$29*$E$29+$C$31+$C$31*$E$31)+$B$33*($C$33+$C$35+$C$35*$E$35))+$A$38*$A$39+1</f>
        <v>1</v>
      </c>
      <c r="V27" s="41">
        <f>S27/U27</f>
        <v>0</v>
      </c>
      <c r="W27" s="27"/>
    </row>
    <row r="28" spans="1:32" ht="31.5">
      <c r="A28" s="1">
        <v>5</v>
      </c>
      <c r="C28" s="11" t="s">
        <v>275</v>
      </c>
      <c r="E28" s="7" t="s">
        <v>31</v>
      </c>
      <c r="H28" s="375" t="s">
        <v>22</v>
      </c>
      <c r="I28" s="375"/>
      <c r="J28" s="375" t="s">
        <v>23</v>
      </c>
      <c r="K28" s="375"/>
      <c r="L28" s="375" t="s">
        <v>24</v>
      </c>
      <c r="M28" s="375"/>
      <c r="S28" s="11">
        <f>$A$27+$A$27*(1+$B$29)+$A$12+$A$12*($B$13+$B$17+$B$21+$B$13*$C$14+$B$13*$C$14*$E$14+$B$17*$C$18+$B$17*$C$18*$E$18+$B$21*($C$22+$C$22*$E$22+$C$24))+($A$2+$A$2*($B$3+$B$8+$B$3*($C$4+$C$6+$E$4*$C$4+$E$6*$C$6)+$B$8*$C$9))</f>
        <v>0</v>
      </c>
      <c r="T28" s="11" t="s">
        <v>372</v>
      </c>
      <c r="U28" s="11">
        <f>$A$2+$A$2*($B$3+$B$8+$B$3*($C$4+$C$6+$E$4*$C$4+$C$6*$E$6)+$B$8*$C$9)+$A$12+$A$12*($B$13+$B$17+$B$21+$B$13*$C$14+$B$13*$C$14*$E$14+$B$17*$C$18+$B$17*$C$18*$E$18+$B$21*($C$22+$C$22*$E$22+$C$24))+$A$27+$A$27*(1+$B$29*($C$29+$C$29*$E$29+$C$31+$C$31*$E$31)+$B$33*($C$33+$C$35+$C$35*$E$35))+$A$38*$A$39+1</f>
        <v>1</v>
      </c>
      <c r="V28" s="43">
        <f>S28/U28</f>
        <v>0</v>
      </c>
    </row>
    <row r="29" spans="1:32" ht="15.75">
      <c r="B29" s="17">
        <f>IF('3'!C13="",0,IF('0'!$D$11*'0'!$D$20*'3'!C13&gt;=$B$1,1,IF(RANK('3'!C13,'3'!C13:C15)=1,1,0)))</f>
        <v>0</v>
      </c>
      <c r="C29" s="18">
        <f>IF(AND('30'!C12="",'30'!C16=""),0,1)</f>
        <v>0</v>
      </c>
      <c r="D29" s="15" t="s">
        <v>292</v>
      </c>
      <c r="E29" s="17">
        <f>IF('0'!$D$11*'0'!$D$20*'3'!C13*'3'!E13&gt;=$E$1,1,0)</f>
        <v>0</v>
      </c>
      <c r="F29" s="15" t="s">
        <v>293</v>
      </c>
      <c r="G29" s="2" t="s">
        <v>27</v>
      </c>
      <c r="H29" s="2">
        <f>$B$33</f>
        <v>0</v>
      </c>
      <c r="I29" s="15" t="s">
        <v>291</v>
      </c>
      <c r="J29" s="2">
        <f t="shared" ref="J29:J32" si="8">$A$38</f>
        <v>0</v>
      </c>
      <c r="K29" s="8">
        <v>4</v>
      </c>
      <c r="L29" s="2">
        <v>1</v>
      </c>
      <c r="M29" s="25">
        <v>5</v>
      </c>
      <c r="X29" s="15">
        <f>$A$27+$A$27*(1+$B$29*($C$29))+$A$12+$A$12*($B$13+$B$17+$B$21+$B$13*$C$14+$B$13*$C$14*$E$14+$B$17*$C$18+$B$17*$C$18*$E$18+$B$21*($C$22+$C$22*$E$22+$C$24))+($A$2+$A$2*($B$3+$B$8+$B$3*($C$4+$C$6+$E$4*$C$4+$E$6*$C$6)+$B$8*$C$9))</f>
        <v>0</v>
      </c>
      <c r="Y29" s="15" t="s">
        <v>372</v>
      </c>
      <c r="Z29" s="15">
        <f>$A$2+$A$2*($B$3+$B$8+$B$3*($C$4+$C$6+$E$4*$C$4+$C$6*$E$6)+$B$8*$C$9)+$A$12+$A$12*($B$13+$B$17+$B$21+$B$13*$C$14+$B$13*$C$14*$E$14+$B$17*$C$18+$B$17*$C$18*$E$18+$B$21*($C$22+$C$22*$E$22+$C$24))+$A$27+$A$27*(1+$B$29*($C$29+$C$29*$E$29+$C$31+$C$31*$E$31)+$B$33*($C$33+$C$35+$C$35*$E$35))+$A$38*$A$39+1</f>
        <v>1</v>
      </c>
      <c r="AA29" s="42">
        <f>X29/Z29</f>
        <v>0</v>
      </c>
      <c r="AC29" s="15">
        <f>$A$27+$A$27*(1+$B$29*($C$29+$C$29*$E$29))+$A$12+$A$12*($B$13+$B$17+$B$21+$B$13*$C$14+$B$13*$C$14*$E$14+$B$17*$C$18+$B$17*$C$18*$E$18+$B$21*($C$22+$C$22*$E$22+$C$24))+($A$2+$A$2*($B$3+$B$8+$B$3*($C$4+$C$6+$E$4*$C$4+$E$6*$C$6)+$B$8*$C$9))</f>
        <v>0</v>
      </c>
      <c r="AD29" s="15" t="s">
        <v>372</v>
      </c>
      <c r="AE29" s="15">
        <f>$A$2+$A$2*($B$3+$B$8+$B$3*($C$4+$C$6+$E$4*$C$4+$C$6*$E$6)+$B$8*$C$9)+$A$12+$A$12*($B$13+$B$17+$B$21+$B$13*$C$14+$B$13*$C$14*$E$14+$B$17*$C$18+$B$17*$C$18*$E$18+$B$21*($C$22+$C$22*$E$22+$C$24))+$A$27+$A$27*(1+$B$29*($C$29+$C$29*$E$29+$C$31+$C$31*$E$31)+$B$33*($C$33+$C$35+$C$35*$E$35))+$A$38*$A$39+1</f>
        <v>1</v>
      </c>
      <c r="AF29" s="42">
        <f>AC29/AE29</f>
        <v>0</v>
      </c>
    </row>
    <row r="30" spans="1:32" ht="15.75">
      <c r="E30" s="2">
        <f>IF(E29=1,0,1)</f>
        <v>1</v>
      </c>
      <c r="F30" s="2" t="s">
        <v>27</v>
      </c>
      <c r="H30" s="2">
        <f>$B$33</f>
        <v>0</v>
      </c>
      <c r="I30" s="15" t="s">
        <v>291</v>
      </c>
      <c r="J30" s="2">
        <f t="shared" si="8"/>
        <v>0</v>
      </c>
      <c r="K30" s="8">
        <v>4</v>
      </c>
      <c r="L30" s="2">
        <v>1</v>
      </c>
      <c r="M30" s="25">
        <v>5</v>
      </c>
    </row>
    <row r="31" spans="1:32" ht="15.75">
      <c r="C31" s="2">
        <f>IF(C29=1,0,1)</f>
        <v>1</v>
      </c>
      <c r="D31" s="214" t="s">
        <v>612</v>
      </c>
      <c r="E31" s="17">
        <f>E29</f>
        <v>0</v>
      </c>
      <c r="F31" s="214" t="s">
        <v>596</v>
      </c>
      <c r="G31" s="2" t="s">
        <v>27</v>
      </c>
      <c r="H31" s="2">
        <f>$B$33</f>
        <v>0</v>
      </c>
      <c r="I31" s="15" t="s">
        <v>294</v>
      </c>
      <c r="J31" s="2">
        <f t="shared" si="8"/>
        <v>0</v>
      </c>
      <c r="K31" s="8">
        <v>4</v>
      </c>
      <c r="L31" s="2">
        <v>1</v>
      </c>
      <c r="M31" s="25">
        <v>5</v>
      </c>
      <c r="X31" s="15">
        <f>$A$27+$A$27*(1+$B$29*($C$29+$C$29*$E$29+$C$31))+$A$12+$A$12*($B$13+$B$17+$B$21+$B$13*$C$14+$B$13*$C$14*$E$14+$B$17*$C$18+$B$17*$C$18*$E$18+$B$21*($C$22+$C$22*$E$22+$C$24))+($A$2+$A$2*($B$3+$B$8+$B$3*($C$4+$C$6+$E$4*$C$4+$E$6*$C$6)+$B$8*$C$9))</f>
        <v>0</v>
      </c>
      <c r="Y31" s="15" t="s">
        <v>372</v>
      </c>
      <c r="Z31" s="15">
        <f>$A$2+$A$2*($B$3+$B$8+$B$3*($C$4+$C$6+$E$4*$C$4+$C$6*$E$6)+$B$8*$C$9)+$A$12+$A$12*($B$13+$B$17+$B$21+$B$13*$C$14+$B$13*$C$14*$E$14+$B$17*$C$18+$B$17*$C$18*$E$18+$B$21*($C$22+$C$22*$E$22+$C$24))+$A$27+$A$27*(1+$B$29*($C$29+$C$29*$E$29+$C$31+$C$31*$E$31)+$B$33*($C$33+$C$35+$C$35*$E$35))+$A$38*$A$39+1</f>
        <v>1</v>
      </c>
      <c r="AA31" s="42">
        <f>X31/Z31</f>
        <v>0</v>
      </c>
      <c r="AC31" s="15">
        <f>$A$27+$A$27*(1+$B$29*($C$29+$C$29*$E$29+$C$31+$C$31*$E$31))+$A$12+$A$12*($B$13+$B$17+$B$21+$B$13*$C$14+$B$13*$C$14*$E$14+$B$17*$C$18+$B$17*$C$18*$E$18+$B$21*($C$22+$C$22*$E$22+$C$24))+($A$2+$A$2*($B$3+$B$8+$B$3*($C$4+$C$6+$E$4*$C$4+$E$6*$C$6)+$B$8*$C$9))</f>
        <v>0</v>
      </c>
      <c r="AD31" s="15" t="s">
        <v>372</v>
      </c>
      <c r="AE31" s="15">
        <f>$A$2+$A$2*($B$3+$B$8+$B$3*($C$4+$C$6+$E$4*$C$4+$C$6*$E$6)+$B$8*$C$9)+$A$12+$A$12*($B$13+$B$17+$B$21+$B$13*$C$14+$B$13*$C$14*$E$14+$B$17*$C$18+$B$17*$C$18*$E$18+$B$21*($C$22+$C$22*$E$22+$C$24))+$A$27+$A$27*(1+$B$29*($C$29+$C$29*$E$29+$C$31+$C$31*$E$31)+$B$33*($C$33+$C$35+$C$35*$E$35))+$A$38*$A$39+1</f>
        <v>1</v>
      </c>
      <c r="AF31" s="42">
        <f>AC31/AE31</f>
        <v>0</v>
      </c>
    </row>
    <row r="32" spans="1:32" ht="15.75">
      <c r="E32" s="2">
        <f>IF(E31=1,0,1)</f>
        <v>1</v>
      </c>
      <c r="F32" s="2" t="s">
        <v>27</v>
      </c>
      <c r="G32" s="2" t="s">
        <v>27</v>
      </c>
      <c r="H32" s="2">
        <f>$B$33</f>
        <v>0</v>
      </c>
      <c r="I32" s="15" t="s">
        <v>294</v>
      </c>
      <c r="J32" s="2">
        <f t="shared" si="8"/>
        <v>0</v>
      </c>
      <c r="K32" s="8">
        <v>4</v>
      </c>
      <c r="L32" s="2">
        <v>1</v>
      </c>
      <c r="M32" s="25">
        <v>5</v>
      </c>
    </row>
    <row r="33" spans="1:32" ht="15.75">
      <c r="B33" s="17">
        <f>IF('3'!C15="",0,IF('0'!$D$11*'0'!$D$20*'3'!C15&gt;=$B$1,1,IF(RANK('3'!C15,'3'!C13:C15)=1,1,0)))</f>
        <v>0</v>
      </c>
      <c r="C33" s="18">
        <f>C29</f>
        <v>0</v>
      </c>
      <c r="D33" s="15" t="s">
        <v>291</v>
      </c>
      <c r="E33" s="17">
        <f>IF('0'!$D$11*'0'!$D$20*'3'!C15*'3'!E15&gt;=$E$1,1,0)</f>
        <v>0</v>
      </c>
      <c r="F33" s="2" t="s">
        <v>28</v>
      </c>
      <c r="G33" s="2" t="s">
        <v>27</v>
      </c>
      <c r="H33" s="2">
        <f>$A$38</f>
        <v>0</v>
      </c>
      <c r="I33" s="8">
        <v>4</v>
      </c>
      <c r="J33" s="2">
        <v>1</v>
      </c>
      <c r="K33" s="25">
        <v>5</v>
      </c>
      <c r="X33" s="15">
        <f>$A$27+$A$27*(1+$B$29*($C$29+$C$29*$E$29+$C$31+$C$31*$E$31)+$B$33*($C$33))+$A$12+$A$12*($B$13+$B$17+$B$21+$B$13*$C$14+$B$13*$C$14*$E$14+$B$17*$C$18+$B$17*$C$18*$E$18+$B$21*($C$22+$C$22*$E$22+$C$24))+($A$2+$A$2*($B$3+$B$8+$B$3*($C$4+$C$6+$E$4*$C$4+$E$6*$C$6)+$B$8*$C$9))</f>
        <v>0</v>
      </c>
      <c r="Y33" s="15" t="s">
        <v>372</v>
      </c>
      <c r="Z33" s="15">
        <f>$A$2+$A$2*($B$3+$B$8+$B$3*($C$4+$C$6+$E$4*$C$4+$C$6*$E$6)+$B$8*$C$9)+$A$12+$A$12*($B$13+$B$17+$B$21+$B$13*$C$14+$B$13*$C$14*$E$14+$B$17*$C$18+$B$17*$C$18*$E$18+$B$21*($C$22+$C$22*$E$22+$C$24))+$A$27+$A$27*(1+$B$29*($C$29+$C$29*$E$29+$C$31+$C$31*$E$31)+$B$33*($C$33+$C$35+$C$35*$E$35))+$A$38*$A$39+1</f>
        <v>1</v>
      </c>
      <c r="AA33" s="42">
        <f>X33/Z33</f>
        <v>0</v>
      </c>
    </row>
    <row r="34" spans="1:32" ht="15.75">
      <c r="E34" s="2">
        <f>IF(E33=1,0,1)</f>
        <v>1</v>
      </c>
      <c r="F34" s="2" t="s">
        <v>29</v>
      </c>
      <c r="G34" s="2" t="s">
        <v>27</v>
      </c>
      <c r="H34" s="2">
        <f>$A$38</f>
        <v>0</v>
      </c>
      <c r="I34" s="8">
        <v>4</v>
      </c>
      <c r="J34" s="2">
        <v>1</v>
      </c>
      <c r="K34" s="25">
        <v>5</v>
      </c>
    </row>
    <row r="35" spans="1:32" ht="15.75">
      <c r="C35" s="2">
        <f>IF(C33=1,0,1)</f>
        <v>1</v>
      </c>
      <c r="D35" s="214" t="s">
        <v>613</v>
      </c>
      <c r="E35" s="17">
        <f>E33</f>
        <v>0</v>
      </c>
      <c r="F35" s="214" t="s">
        <v>606</v>
      </c>
      <c r="G35" s="2" t="s">
        <v>27</v>
      </c>
      <c r="H35" s="2">
        <f>$A$38</f>
        <v>0</v>
      </c>
      <c r="I35" s="8">
        <v>4</v>
      </c>
      <c r="J35" s="2">
        <v>1</v>
      </c>
      <c r="K35" s="25">
        <v>5</v>
      </c>
      <c r="X35" s="15">
        <f>$A$27+$A$27*(1+$B$29*($C$29+$C$29*$E$29+$C$31+$C$31*$E$31)+$B$33*($C$33+$C$35))+$A$12+$A$12*($B$13+$B$17+$B$21+$B$13*$C$14+$B$13*$C$14*$E$14+$B$17*$C$18+$B$17*$C$18*$E$18+$B$21*($C$22+$C$22*$E$22+$C$24))+($A$2+$A$2*($B$3+$B$8+$B$3*($C$4+$C$6+$E$4*$C$4+$E$6*$C$6)+$B$8*$C$9))</f>
        <v>0</v>
      </c>
      <c r="Y35" s="15" t="s">
        <v>372</v>
      </c>
      <c r="Z35" s="15">
        <f>$A$2+$A$2*($B$3+$B$8+$B$3*($C$4+$C$6+$E$4*$C$4+$C$6*$E$6)+$B$8*$C$9)+$A$12+$A$12*($B$13+$B$17+$B$21+$B$13*$C$14+$B$13*$C$14*$E$14+$B$17*$C$18+$B$17*$C$18*$E$18+$B$21*($C$22+$C$22*$E$22+$C$24))+$A$27+$A$27*(1+$B$29*($C$29+$C$29*$E$29+$C$31+$C$31*$E$31)+$B$33*($C$33+$C$35+$C$35*$E$35))+$A$38*$A$39+1</f>
        <v>1</v>
      </c>
      <c r="AA35" s="42">
        <f>X35/Z35</f>
        <v>0</v>
      </c>
      <c r="AC35" s="15">
        <f>$A$27+$A$27*(1+$B$29*($C$29+$C$29*$E$29+$C$31+$C$31*$E$31)+$B$33*($C$33+$C$35+$C$35*$E$35))+$A$12+$A$12*($B$13+$B$17+$B$21+$B$13*$C$14+$B$13*$C$14*$E$14+$B$17*$C$18+$B$17*$C$18*$E$18+$B$21*($C$22+$C$22*$E$22+$C$24))+($A$2+$A$2*($B$3+$B$8+$B$3*($C$4+$C$6+$E$4*$C$4+$E$6*$C$6)+$B$8*$C$9))</f>
        <v>0</v>
      </c>
      <c r="AD35" s="15" t="s">
        <v>372</v>
      </c>
      <c r="AE35" s="15">
        <f>$A$2+$A$2*($B$3+$B$8+$B$3*($C$4+$C$6+$E$4*$C$4+$C$6*$E$6)+$B$8*$C$9)+$A$12+$A$12*($B$13+$B$17+$B$21+$B$13*$C$14+$B$13*$C$14*$E$14+$B$17*$C$18+$B$17*$C$18*$E$18+$B$21*($C$22+$C$22*$E$22+$C$24))+$A$27+$A$27*(1+$B$29*($C$29+$C$29*$E$29+$C$31+$C$31*$E$31)+$B$33*($C$33+$C$35+$C$35*$E$35))+$A$38*$A$39+1</f>
        <v>1</v>
      </c>
      <c r="AF35" s="42">
        <f>AC35/AE35</f>
        <v>0</v>
      </c>
    </row>
    <row r="36" spans="1:32" ht="15.75">
      <c r="E36" s="2">
        <f>IF(E35=1,0,1)</f>
        <v>1</v>
      </c>
      <c r="F36" s="2" t="s">
        <v>27</v>
      </c>
      <c r="G36" s="2" t="s">
        <v>27</v>
      </c>
      <c r="H36" s="2">
        <f>$A$38</f>
        <v>0</v>
      </c>
      <c r="I36" s="8">
        <v>4</v>
      </c>
      <c r="J36" s="2">
        <v>1</v>
      </c>
      <c r="K36" s="25">
        <v>5</v>
      </c>
    </row>
    <row r="38" spans="1:32" ht="47.25">
      <c r="A38" s="2">
        <f>IF('0'!D22="",0,IF(AND('0'!$D$11*'0'!D22&gt;=$B$1,RANK('0'!D22,'0'!$D$16:$D$22)&lt;=2),1,IF(RANK('0'!D22,'0'!$D$16:$D$22)=1,1,0)))</f>
        <v>0</v>
      </c>
      <c r="B38" s="8" t="s">
        <v>584</v>
      </c>
      <c r="C38" s="12" t="s">
        <v>274</v>
      </c>
      <c r="E38" s="8" t="s">
        <v>32</v>
      </c>
      <c r="I38" s="375" t="s">
        <v>22</v>
      </c>
      <c r="J38" s="375"/>
      <c r="K38" s="375" t="s">
        <v>23</v>
      </c>
      <c r="L38" s="375"/>
      <c r="M38" s="375" t="s">
        <v>24</v>
      </c>
      <c r="N38" s="375"/>
      <c r="S38" s="44">
        <f>$A$2+$A$2*($B$3+$B$8+$B$3*($C$4+$C$6+$E$4*$C$4+$E$6*$C$6)+$B$8*$C$9)+$A$12+$A$12*($B$13+$B$17+$B$21+$B$13*$C$14+$B$13*$C$14*$E$14+$B$17*$C$18+$B$17*$C$18*$E$18+$B$21*($C$22+$C$22*$E$22+$C$24))+$A$27+$A$27*(1+$B$29*($C$29+$C$31+$C$29*$E$29+$C$31*$E$31)+$B$33*($C$33+$C$35+$C$35*$E$35))+$A$38</f>
        <v>0</v>
      </c>
      <c r="T38" s="44" t="s">
        <v>372</v>
      </c>
      <c r="U38" s="44">
        <f>$A$2+$A$2*($B$3+$B$8+$B$3*($C$4+$C$6+$E$4*$C$4)+$B$8*$C$9)+$A$12+$A$12*($B$13+$B$17+$B$21+$B$13*$C$14+$B$17*$C$18+$B$21*($C$22+$C$24))+$A$27+$A$27*(1+$B$29*($C$29+$C$31+$C$29*$E$29)+$B$33*($C$33+$C$35))+$A$38*$A$39+1</f>
        <v>1</v>
      </c>
      <c r="V38" s="45">
        <f>S38/U38</f>
        <v>0</v>
      </c>
      <c r="W38" s="27"/>
    </row>
    <row r="39" spans="1:32" ht="15.75">
      <c r="A39" s="1">
        <v>8</v>
      </c>
      <c r="B39" s="17">
        <f>IF('4'!C13="",0,IF('0'!$D$11*'0'!$D$22*'4'!C13&gt;=$B$1,1,IF(RANK('4'!C13,'4'!C13:C17)=1,1,0)))</f>
        <v>0</v>
      </c>
      <c r="C39" s="2">
        <f>IF(C41=1,0,1)</f>
        <v>1</v>
      </c>
      <c r="D39" s="16" t="s">
        <v>295</v>
      </c>
      <c r="E39" s="17">
        <f>IF('0'!$D$11*'0'!$D$22*'4'!C13*'4'!E13&gt;=$E$1,1,0)</f>
        <v>0</v>
      </c>
      <c r="F39" s="2" t="s">
        <v>28</v>
      </c>
      <c r="G39" s="2" t="s">
        <v>27</v>
      </c>
      <c r="H39" s="2">
        <f>$B$43</f>
        <v>0</v>
      </c>
      <c r="I39" s="16" t="s">
        <v>298</v>
      </c>
      <c r="J39" s="2">
        <f t="shared" ref="J39:J42" si="9">$B$47</f>
        <v>0</v>
      </c>
      <c r="K39" s="16" t="s">
        <v>301</v>
      </c>
      <c r="L39" s="2">
        <v>1</v>
      </c>
      <c r="M39" s="25">
        <v>5</v>
      </c>
      <c r="S39" s="12">
        <f>$A$2+$A$2*($B$3+$B$8+$B$3*($C$4+$C$6+$E$4*$C$4+$E$6*$C$6)+$B$8*$C$9)+$A$12+$A$12*($B$13+$B$17+$B$21+$B$13*$C$14+$B$13*$C$14*$E$14+$B$17*$C$18+$B$17*$C$18*$E$18+$B$21*($C$22+$C$22*$E$22+$C$24))+$A$27+$A$27*(1+$B$29*($C$29+$C$31+$C$29*$E$29+$C$31*$E$31)+$B$33*($C$33+$C$35+$C$35*$E$35))+$A$38+$A$38*(1+$B$39)</f>
        <v>0</v>
      </c>
      <c r="T39" s="12" t="s">
        <v>372</v>
      </c>
      <c r="U39" s="12">
        <f>$A$2+$A$2*($B$3+$B$8+$B$3*($C$4+$C$6+$E$4*$C$4)+$B$8*$C$9)+$A$12+$A$12*($B$13+$B$17+$B$21+$B$13*$C$14+$B$17*$C$18+$B$21*($C$22+$C$24))+$A$27+$A$27*(1+$B$29*($C$29+$C$31+$C$29*$E$29)+$B$33*($C$33+$C$35))+$A$38+$A$38*(1+$B$39*($C$39+$C$41+$C$41*$E$41)+$B$43*($C$43+$C$45+$C$45*$E$45)+$B$47*($C$47+$C$49+$C$49*$E$49))+1</f>
        <v>1</v>
      </c>
      <c r="V39" s="47">
        <f>S39/U39</f>
        <v>0</v>
      </c>
      <c r="X39" s="16">
        <f>$A$2+$A$2*($B$3+$B$8+$B$3*($C$4+$C$6+$E$4*$C$4+$E$6*$C$6)+$B$8*$C$9)+$A$12+$A$12*($B$13+$B$17+$B$21+$B$13*$C$14+$B$13*$C$14*$E$14+$B$17*$C$18+$B$17*$C$18*$E$18+$B$21*($C$22+$C$22*$E$22+$C$24))+$A$27+$A$27*(1+$B$29*($C$29+$C$31+$C$29*$E$29+$C$31*$E$31)+$B$33*($C$33+$C$35+$C$35*$E$35))+$A$38+$A$38*(1+$B$39*($C$39))</f>
        <v>0</v>
      </c>
      <c r="Y39" s="16" t="s">
        <v>372</v>
      </c>
      <c r="Z39" s="16">
        <f>$A$2+$A$2*($B$3+$B$8+$B$3*($C$4+$C$6+$E$4*$C$4+$E$6*$C$6)+$B$8*$C$9)+$A$12+$A$12*($B$13+$B$17+$B$21+$B$13*$C$14+$B$13*$C$14*$E$14+$B$17*$C$18+$B$17*$C$18*$E$18+$B$21*($C$22+$C$22*$E$22+$C$24))+$A$27+$A$27*(1+$B$29*($C$29+$C$31+$C$29*$E$29+$C$31*$E$31)+$B$33*($C$33+$C$35+$C$35*$E$35))+$A$38+$A$38*(1+$B$39*($C$39+$C$41+$C$41*$E$41)+$B$43*($C$43+$C$45+$C$45*$E$45)+$B$47*($C$47+$C$49+$C$49*$E$49))+1</f>
        <v>1</v>
      </c>
      <c r="AA39" s="49">
        <f>X39/Z39</f>
        <v>0</v>
      </c>
    </row>
    <row r="40" spans="1:32" ht="15.75">
      <c r="E40" s="2">
        <f>IF(E39=1,0,1)</f>
        <v>1</v>
      </c>
      <c r="F40" s="2" t="s">
        <v>29</v>
      </c>
      <c r="G40" s="2" t="s">
        <v>27</v>
      </c>
      <c r="H40" s="2">
        <f>$B$43</f>
        <v>0</v>
      </c>
      <c r="I40" s="16" t="s">
        <v>298</v>
      </c>
      <c r="J40" s="2">
        <f t="shared" si="9"/>
        <v>0</v>
      </c>
      <c r="K40" s="16" t="s">
        <v>301</v>
      </c>
      <c r="L40" s="2">
        <v>1</v>
      </c>
      <c r="M40" s="25">
        <v>5</v>
      </c>
    </row>
    <row r="41" spans="1:32" ht="15.75">
      <c r="C41" s="18">
        <f>IF('40'!C14="",0,1)</f>
        <v>0</v>
      </c>
      <c r="D41" s="16" t="s">
        <v>296</v>
      </c>
      <c r="E41" s="17">
        <f>E39</f>
        <v>0</v>
      </c>
      <c r="F41" s="16" t="s">
        <v>297</v>
      </c>
      <c r="G41" s="2" t="s">
        <v>27</v>
      </c>
      <c r="H41" s="2">
        <f>$B$43</f>
        <v>0</v>
      </c>
      <c r="I41" s="16" t="s">
        <v>299</v>
      </c>
      <c r="J41" s="2">
        <f t="shared" si="9"/>
        <v>0</v>
      </c>
      <c r="K41" s="16" t="s">
        <v>302</v>
      </c>
      <c r="L41" s="2">
        <v>1</v>
      </c>
      <c r="M41" s="25">
        <v>5</v>
      </c>
      <c r="X41" s="16">
        <f>$A$2+$A$2*($B$3+$B$8+$B$3*($C$4+$C$6+$E$4*$C$4+$E$6*$C$6)+$B$8*$C$9)+$A$12+$A$12*($B$13+$B$17+$B$21+$B$13*$C$14+$B$13*$C$14*$E$14+$B$17*$C$18+$B$17*$C$18*$E$18+$B$21*($C$22+$C$22*$E$22+$C$24))+$A$27+$A$27*(1+$B$29*($C$29+$C$31+$C$29*$E$29+$C$31*$E$31)+$B$33*($C$33+$C$35+$C$35*$E$35))+$A$38+$A$38*(1+$B$39*($C$39+$C$41))</f>
        <v>0</v>
      </c>
      <c r="Y41" s="16" t="s">
        <v>372</v>
      </c>
      <c r="Z41" s="16">
        <f>$A$2+$A$2*($B$3+$B$8+$B$3*($C$4+$C$6+$E$4*$C$4+$E$6*$C$6)+$B$8*$C$9)+$A$12+$A$12*($B$13+$B$17+$B$21+$B$13*$C$14+$B$13*$C$14*$E$14+$B$17*$C$18+$B$17*$C$18*$E$18+$B$21*($C$22+$C$22*$E$22+$C$24))+$A$27+$A$27*(1+$B$29*($C$29+$C$31+$C$29*$E$29+$C$31*$E$31)+$B$33*($C$33+$C$35+$C$35*$E$35))+$A$38+$A$38*(1+$B$39*($C$39+$C$41+$C$41*$E$41)+$B$43*($C$43+$C$45+$C$45*$E$45)+$B$47*($C$47+$C$49+$C$49*$E$49))+1</f>
        <v>1</v>
      </c>
      <c r="AA41" s="49">
        <f>X41/Z41</f>
        <v>0</v>
      </c>
      <c r="AC41" s="16">
        <f>$A$2+$A$2*($B$3+$B$8+$B$3*($C$4+$C$6+$E$4*$C$4+$E$6*$C$6)+$B$8*$C$9)+$A$12+$A$12*($B$13+$B$17+$B$21+$B$13*$C$14+$B$13*$C$14*$E$14+$B$17*$C$18+$B$17*$C$18*$E$18+$B$21*($C$22+$C$22*$E$22+$C$24))+$A$27+$A$27*(1+$B$29*($C$29+$C$31+$C$29*$E$29+$C$31*$E$31)+$B$33*($C$33+$C$35+$C$35*$E$35))+$A$38+$A$38*(1+$B$39*($C$39+$C$41+$C$41*$E$41))</f>
        <v>0</v>
      </c>
      <c r="AD41" s="16" t="s">
        <v>372</v>
      </c>
      <c r="AE41" s="16">
        <f>$A$2+$A$2*($B$3+$B$8+$B$3*($C$4+$C$6+$E$4*$C$4+$E$6*$C$6)+$B$8*$C$9)+$A$12+$A$12*($B$13+$B$17+$B$21+$B$13*$C$14+$B$13*$C$14*$E$14+$B$17*$C$18+$B$17*$C$18*$E$18+$B$21*($C$22+$C$22*$E$22+$C$24))+$A$27+$A$27*(1+$B$29*($C$29+$C$31+$C$29*$E$29+$C$31*$E$31)+$B$33*($C$33+$C$35+$C$35*$E$35))+$A$38+$A$38*(1+$B$39*($C$39+$C$41+$C$41*$E$41)+$B$43*($C$43+$C$45+$C$45*$E$45)+$B$47*($C$47+$C$49+$C$49*$E$49))+1</f>
        <v>1</v>
      </c>
      <c r="AF41" s="49">
        <f>AC41/AE41</f>
        <v>0</v>
      </c>
    </row>
    <row r="42" spans="1:32" ht="15.75">
      <c r="E42" s="2">
        <f>IF(E41=1,0,1)</f>
        <v>1</v>
      </c>
      <c r="F42" s="2" t="s">
        <v>27</v>
      </c>
      <c r="H42" s="2">
        <f>$B$43</f>
        <v>0</v>
      </c>
      <c r="I42" s="16" t="s">
        <v>299</v>
      </c>
      <c r="J42" s="2">
        <f t="shared" si="9"/>
        <v>0</v>
      </c>
      <c r="K42" s="16" t="s">
        <v>302</v>
      </c>
      <c r="L42" s="2">
        <v>1</v>
      </c>
      <c r="M42" s="25">
        <v>5</v>
      </c>
    </row>
    <row r="43" spans="1:32" ht="15.75">
      <c r="B43" s="17">
        <f>IF('4'!C15="",0,IF('0'!$D$11*'0'!$D$22*'4'!C15&gt;=$B$1,1,IF(RANK('4'!C15,'4'!C13:C17)=1,1,0)))</f>
        <v>0</v>
      </c>
      <c r="C43" s="2">
        <f>IF(C45=1,0,1)</f>
        <v>1</v>
      </c>
      <c r="D43" s="16" t="s">
        <v>298</v>
      </c>
      <c r="E43" s="17">
        <f>IF('0'!$D$11*'0'!$D$22*'4'!C15*'4'!E15&gt;=$E$1,1,0)</f>
        <v>0</v>
      </c>
      <c r="F43" s="2" t="s">
        <v>28</v>
      </c>
      <c r="G43" s="2" t="s">
        <v>27</v>
      </c>
      <c r="H43" s="2">
        <f>$B$47</f>
        <v>0</v>
      </c>
      <c r="I43" s="16" t="s">
        <v>301</v>
      </c>
      <c r="J43" s="2">
        <v>1</v>
      </c>
      <c r="K43" s="25">
        <v>5</v>
      </c>
      <c r="X43" s="16">
        <f>$A$2+$A$2*($B$3+$B$8+$B$3*($C$4+$C$6+$E$4*$C$4+$E$6*$C$6)+$B$8*$C$9)+$A$12+$A$12*($B$13+$B$17+$B$21+$B$13*$C$14+$B$13*$C$14*$E$14+$B$17*$C$18+$B$17*$C$18*$E$18+$B$21*($C$22+$C$22*$E$22+$C$24))+$A$27+$A$27*(1+$B$29*($C$29+$C$31+$C$29*$E$29+$C$31*$E$31)+$B$33*($C$33+$C$35+$C$35*$E$35))+$A$38+$A$38*(1+$B$39*($C$39+$C$41+$C$41*$E$41)+$B$43*($C$43))</f>
        <v>0</v>
      </c>
      <c r="Y43" s="16" t="s">
        <v>372</v>
      </c>
      <c r="Z43" s="16">
        <f>$A$2+$A$2*($B$3+$B$8+$B$3*($C$4+$C$6+$E$4*$C$4+$E$6*$C$6)+$B$8*$C$9)+$A$12+$A$12*($B$13+$B$17+$B$21+$B$13*$C$14+$B$13*$C$14*$E$14+$B$17*$C$18+$B$17*$C$18*$E$18+$B$21*($C$22+$C$22*$E$22+$C$24))+$A$27+$A$27*(1+$B$29*($C$29+$C$31+$C$29*$E$29+$C$31*$E$31)+$B$33*($C$33+$C$35+$C$35*$E$35))+$A$38+$A$38*(1+$B$39*($C$39+$C$41+$C$41*$E$41)+$B$43*($C$43+$C$45+$C$45*$E$45)+$B$47*($C$47+$C$49+$C$49*$E$49))+1</f>
        <v>1</v>
      </c>
      <c r="AA43" s="49">
        <f>X43/Z43</f>
        <v>0</v>
      </c>
    </row>
    <row r="44" spans="1:32" ht="15.75">
      <c r="E44" s="2">
        <f>IF(E43=1,0,1)</f>
        <v>1</v>
      </c>
      <c r="F44" s="2" t="s">
        <v>29</v>
      </c>
      <c r="G44" s="2" t="s">
        <v>27</v>
      </c>
      <c r="H44" s="2">
        <f>$B$47</f>
        <v>0</v>
      </c>
      <c r="I44" s="16" t="s">
        <v>301</v>
      </c>
      <c r="J44" s="2">
        <v>1</v>
      </c>
      <c r="K44" s="25">
        <v>5</v>
      </c>
    </row>
    <row r="45" spans="1:32" ht="15.75">
      <c r="C45" s="18">
        <f>C41</f>
        <v>0</v>
      </c>
      <c r="D45" s="16" t="s">
        <v>299</v>
      </c>
      <c r="E45" s="17">
        <f>E43</f>
        <v>0</v>
      </c>
      <c r="F45" s="16" t="s">
        <v>300</v>
      </c>
      <c r="G45" s="2" t="s">
        <v>27</v>
      </c>
      <c r="H45" s="2">
        <f>$B$47</f>
        <v>0</v>
      </c>
      <c r="I45" s="16" t="s">
        <v>302</v>
      </c>
      <c r="J45" s="2">
        <v>1</v>
      </c>
      <c r="K45" s="25">
        <v>5</v>
      </c>
      <c r="X45" s="16">
        <f>$A$2+$A$2*($B$3+$B$8+$B$3*($C$4+$C$6+$E$4*$C$4+$E$6*$C$6)+$B$8*$C$9)+$A$12+$A$12*($B$13+$B$17+$B$21+$B$13*$C$14+$B$13*$C$14*$E$14+$B$17*$C$18+$B$17*$C$18*$E$18+$B$21*($C$22+$C$22*$E$22+$C$24))+$A$27+$A$27*(1+$B$29*($C$29+$C$31+$C$29*$E$29+$C$31*$E$31)+$B$33*($C$33+$C$35+$C$35*$E$35))+$A$38+$A$38*(1+$B$39*($C$39+$C$41+$C$41*$E$41)+$B$43*($C$43+$C$45))</f>
        <v>0</v>
      </c>
      <c r="Y45" s="16" t="s">
        <v>372</v>
      </c>
      <c r="Z45" s="16">
        <f>$A$2+$A$2*($B$3+$B$8+$B$3*($C$4+$C$6+$E$4*$C$4+$E$6*$C$6)+$B$8*$C$9)+$A$12+$A$12*($B$13+$B$17+$B$21+$B$13*$C$14+$B$13*$C$14*$E$14+$B$17*$C$18+$B$17*$C$18*$E$18+$B$21*($C$22+$C$22*$E$22+$C$24))+$A$27+$A$27*(1+$B$29*($C$29+$C$31+$C$29*$E$29+$C$31*$E$31)+$B$33*($C$33+$C$35+$C$35*$E$35))+$A$38+$A$38*(1+$B$39*($C$39+$C$41+$C$41*$E$41)+$B$43*($C$43+$C$45+$C$45*$E$45)+$B$47*($C$47+$C$49+$C$49*$E$49))+1</f>
        <v>1</v>
      </c>
      <c r="AA45" s="49">
        <f>X45/Z45</f>
        <v>0</v>
      </c>
      <c r="AC45" s="16">
        <f>$A$2+$A$2*($B$3+$B$8+$B$3*($C$4+$C$6+$E$4*$C$4+$E$6*$C$6)+$B$8*$C$9)+$A$12+$A$12*($B$13+$B$17+$B$21+$B$13*$C$14+$B$13*$C$14*$E$14+$B$17*$C$18+$B$17*$C$18*$E$18+$B$21*($C$22+$C$22*$E$22+$C$24))+$A$27+$A$27*(1+$B$29*($C$29+$C$31+$C$29*$E$29+$C$31*$E$31)+$B$33*($C$33+$C$35+$C$35*$E$35))+$A$38+$A$38*(1+$B$39*($C$39+$C$41+$C$41*$E$41)+$B$43*($C$43+$C$45+$C$45*$E$45))</f>
        <v>0</v>
      </c>
      <c r="AD45" s="16" t="s">
        <v>372</v>
      </c>
      <c r="AE45" s="16">
        <f>$A$2+$A$2*($B$3+$B$8+$B$3*($C$4+$C$6+$E$4*$C$4+$E$6*$C$6)+$B$8*$C$9)+$A$12+$A$12*($B$13+$B$17+$B$21+$B$13*$C$14+$B$13*$C$14*$E$14+$B$17*$C$18+$B$17*$C$18*$E$18+$B$21*($C$22+$C$22*$E$22+$C$24))+$A$27+$A$27*(1+$B$29*($C$29+$C$31+$C$29*$E$29+$C$31*$E$31)+$B$33*($C$33+$C$35+$C$35*$E$35))+$A$38+$A$38*(1+$B$39*($C$39+$C$41+$C$41*$E$41)+$B$43*($C$43+$C$45+$C$45*$E$45)+$B$47*($C$47+$C$49+$C$49*$E$49))+1</f>
        <v>1</v>
      </c>
      <c r="AF45" s="49">
        <f>AC45/AE45</f>
        <v>0</v>
      </c>
    </row>
    <row r="46" spans="1:32" ht="15.75">
      <c r="E46" s="2">
        <f>IF(E45=1,0,1)</f>
        <v>1</v>
      </c>
      <c r="F46" s="2" t="s">
        <v>27</v>
      </c>
      <c r="H46" s="2">
        <f>$B$47</f>
        <v>0</v>
      </c>
      <c r="I46" s="16" t="s">
        <v>302</v>
      </c>
      <c r="J46" s="2">
        <v>1</v>
      </c>
      <c r="K46" s="25">
        <v>5</v>
      </c>
    </row>
    <row r="47" spans="1:32" ht="15.75">
      <c r="B47" s="17">
        <f>IF('4'!C17="",0,IF('0'!$D$11*'0'!$D$22*'4'!C17&gt;=$B$1,1,IF(RANK('4'!C17,'4'!C13:C17)=1,1,0)))</f>
        <v>0</v>
      </c>
      <c r="C47" s="2">
        <f>IF(C49=1,0,1)</f>
        <v>1</v>
      </c>
      <c r="D47" s="16" t="s">
        <v>301</v>
      </c>
      <c r="E47" s="17">
        <f>IF('0'!$D$11*'0'!$D$22*'4'!C17*'4'!E17&gt;=$E$1,1,0)</f>
        <v>0</v>
      </c>
      <c r="F47" s="2" t="s">
        <v>28</v>
      </c>
      <c r="G47" s="2" t="s">
        <v>27</v>
      </c>
      <c r="H47" s="2">
        <v>1</v>
      </c>
      <c r="I47" s="25">
        <v>5</v>
      </c>
      <c r="X47" s="16">
        <f>$A$2+$A$2*($B$3+$B$8+$B$3*($C$4+$C$6+$E$4*$C$4+$E$6*$C$6)+$B$8*$C$9)+$A$12+$A$12*($B$13+$B$17+$B$21+$B$13*$C$14+$B$13*$C$14*$E$14+$B$17*$C$18+$B$17*$C$18*$E$18+$B$21*($C$22+$C$22*$E$22+$C$24))+$A$27+$A$27*(1+$B$29*($C$29+$C$31+$C$29*$E$29+$C$31*$E$31)+$B$33*($C$33+$C$35+$C$35*$E$35))+$A$38+$A$38*(1+$B$39*($C$39+$C$41+$C$41*$E$41)+$B$43*($C$43+$C$45+$C$45*$E$45)+$B$47*($C$47))</f>
        <v>0</v>
      </c>
      <c r="Y47" s="16" t="s">
        <v>372</v>
      </c>
      <c r="Z47" s="16">
        <f>$A$2+$A$2*($B$3+$B$8+$B$3*($C$4+$C$6+$E$4*$C$4+$E$6*$C$6)+$B$8*$C$9)+$A$12+$A$12*($B$13+$B$17+$B$21+$B$13*$C$14+$B$13*$C$14*$E$14+$B$17*$C$18+$B$17*$C$18*$E$18+$B$21*($C$22+$C$22*$E$22+$C$24))+$A$27+$A$27*(1+$B$29*($C$29+$C$31+$C$29*$E$29+$C$31*$E$31)+$B$33*($C$33+$C$35+$C$35*$E$35))+$A$38+$A$38*(1+$B$39*($C$39+$C$41+$C$41*$E$41)+$B$43*($C$43+$C$45+$C$45*$E$45)+$B$47*($C$47+$C$49+$C$49*$E$49))+1</f>
        <v>1</v>
      </c>
      <c r="AA47" s="49">
        <f>X47/Z47</f>
        <v>0</v>
      </c>
    </row>
    <row r="48" spans="1:32" ht="15.75">
      <c r="E48" s="2">
        <f>IF(E47=1,0,1)</f>
        <v>1</v>
      </c>
      <c r="F48" s="2" t="s">
        <v>29</v>
      </c>
      <c r="G48" s="2" t="s">
        <v>27</v>
      </c>
      <c r="H48" s="2">
        <v>1</v>
      </c>
      <c r="I48" s="25">
        <v>5</v>
      </c>
    </row>
    <row r="49" spans="1:32" ht="15.75">
      <c r="C49" s="18">
        <f>C45</f>
        <v>0</v>
      </c>
      <c r="D49" s="16" t="s">
        <v>302</v>
      </c>
      <c r="E49" s="17">
        <f>E47</f>
        <v>0</v>
      </c>
      <c r="F49" s="16" t="s">
        <v>303</v>
      </c>
      <c r="G49" s="2" t="s">
        <v>27</v>
      </c>
      <c r="H49" s="2">
        <v>1</v>
      </c>
      <c r="I49" s="25">
        <v>5</v>
      </c>
      <c r="X49" s="16">
        <f>$A$2+$A$2*($B$3+$B$8+$B$3*($C$4+$C$6+$E$4*$C$4+$E$6*$C$6)+$B$8*$C$9)+$A$12+$A$12*($B$13+$B$17+$B$21+$B$13*$C$14+$B$13*$C$14*$E$14+$B$17*$C$18+$B$17*$C$18*$E$18+$B$21*($C$22+$C$22*$E$22+$C$24))+$A$27+$A$27*(1+$B$29*($C$29+$C$31+$C$29*$E$29+$C$31*$E$31)+$B$33*($C$33+$C$35+$C$35*$E$35))+$A$38+$A$38*(1+$B$39*($C$39+$C$41+$C$41*$E$41)+$B$43*($C$43+$C$45+$C$45*$E$45)+$B$47*($C$47+$C$49))</f>
        <v>0</v>
      </c>
      <c r="Y49" s="16" t="s">
        <v>372</v>
      </c>
      <c r="Z49" s="16">
        <f>$A$2+$A$2*($B$3+$B$8+$B$3*($C$4+$C$6+$E$4*$C$4+$E$6*$C$6)+$B$8*$C$9)+$A$12+$A$12*($B$13+$B$17+$B$21+$B$13*$C$14+$B$13*$C$14*$E$14+$B$17*$C$18+$B$17*$C$18*$E$18+$B$21*($C$22+$C$22*$E$22+$C$24))+$A$27+$A$27*(1+$B$29*($C$29+$C$31+$C$29*$E$29+$C$31*$E$31)+$B$33*($C$33+$C$35+$C$35*$E$35))+$A$38+$A$38*(1+$B$39*($C$39+$C$41+$C$41*$E$41)+$B$43*($C$43+$C$45+$C$45*$E$45)+$B$47*($C$47+$C$49+$C$49*$E$49))+1</f>
        <v>1</v>
      </c>
      <c r="AA49" s="49">
        <f>X49/Z49</f>
        <v>0</v>
      </c>
      <c r="AC49" s="16">
        <f>$A$2+$A$2*($B$3+$B$8+$B$3*($C$4+$C$6+$E$4*$C$4+$E$6*$C$6)+$B$8*$C$9)+$A$12+$A$12*($B$13+$B$17+$B$21+$B$13*$C$14+$B$13*$C$14*$E$14+$B$17*$C$18+$B$17*$C$18*$E$18+$B$21*($C$22+$C$22*$E$22+$C$24))+$A$27+$A$27*(1+$B$29*($C$29+$C$31+$C$29*$E$29+$C$31*$E$31)+$B$33*($C$33+$C$35+$C$35*$E$35))+$A$38+$A$38*(1+$B$39*($C$39+$C$41+$C$41*$E$41)+$B$43*($C$43+$C$45+$C$45*$E$45)+$B$47*($C$47+$C$49+$C$49*$E$49))</f>
        <v>0</v>
      </c>
      <c r="AD49" s="16" t="s">
        <v>372</v>
      </c>
      <c r="AE49" s="16">
        <f>$A$2+$A$2*($B$3+$B$8+$B$3*($C$4+$C$6+$E$4*$C$4+$E$6*$C$6)+$B$8*$C$9)+$A$12+$A$12*($B$13+$B$17+$B$21+$B$13*$C$14+$B$13*$C$14*$E$14+$B$17*$C$18+$B$17*$C$18*$E$18+$B$21*($C$22+$C$22*$E$22+$C$24))+$A$27+$A$27*(1+$B$29*($C$29+$C$31+$C$29*$E$29+$C$31*$E$31)+$B$33*($C$33+$C$35+$C$35*$E$35))+$A$38+$A$38*(1+$B$39*($C$39+$C$41+$C$41*$E$41)+$B$43*($C$43+$C$45+$C$45*$E$45)+$B$47*($C$47+$C$49+$C$49*$E$49))+1</f>
        <v>1</v>
      </c>
      <c r="AF49" s="49">
        <f>AC49/AE49</f>
        <v>0</v>
      </c>
    </row>
    <row r="50" spans="1:32" ht="15.75">
      <c r="E50" s="2">
        <f>IF(E49=1,0,1)</f>
        <v>1</v>
      </c>
      <c r="F50" s="2" t="s">
        <v>27</v>
      </c>
      <c r="H50" s="2">
        <v>1</v>
      </c>
      <c r="I50" s="25">
        <v>5</v>
      </c>
    </row>
    <row r="51" spans="1:32">
      <c r="S51" s="46">
        <v>1</v>
      </c>
      <c r="T51" s="46" t="s">
        <v>372</v>
      </c>
      <c r="U51" s="46">
        <v>1</v>
      </c>
      <c r="V51" s="48">
        <f>S51/U51</f>
        <v>1</v>
      </c>
    </row>
    <row r="53" spans="1:32" ht="15.75">
      <c r="A53" s="1" t="s">
        <v>304</v>
      </c>
      <c r="B53" s="2" t="s">
        <v>284</v>
      </c>
    </row>
    <row r="54" spans="1:32">
      <c r="B54" s="2" t="s">
        <v>285</v>
      </c>
    </row>
    <row r="55" spans="1:32">
      <c r="B55" s="2" t="s">
        <v>305</v>
      </c>
    </row>
    <row r="56" spans="1:32">
      <c r="B56" s="2" t="s">
        <v>290</v>
      </c>
    </row>
    <row r="57" spans="1:32">
      <c r="B57" s="2" t="s">
        <v>286</v>
      </c>
    </row>
    <row r="58" spans="1:32">
      <c r="B58" s="2" t="s">
        <v>287</v>
      </c>
    </row>
    <row r="60" spans="1:32">
      <c r="B60" s="2" t="s">
        <v>288</v>
      </c>
    </row>
    <row r="61" spans="1:32">
      <c r="B61" s="2" t="s">
        <v>289</v>
      </c>
    </row>
  </sheetData>
  <sheetProtection algorithmName="SHA-512" hashValue="020+jn5afTP+B3K6DAEdjBv2/jXK686LulnKU2qv5m/8meI7MCCXi3hOwPFYHVDVfZNeUXFgIWN1NRg/7338VA==" saltValue="NAs9+CN1jbSkBC5/2EO/BA==" spinCount="100000" sheet="1" objects="1" scenarios="1"/>
  <sortState ref="B53:B58">
    <sortCondition ref="B53:B58"/>
  </sortState>
  <mergeCells count="16">
    <mergeCell ref="H13:I13"/>
    <mergeCell ref="J13:K13"/>
    <mergeCell ref="L13:M13"/>
    <mergeCell ref="N13:O13"/>
    <mergeCell ref="P13:Q13"/>
    <mergeCell ref="H3:I3"/>
    <mergeCell ref="J3:K3"/>
    <mergeCell ref="L3:M3"/>
    <mergeCell ref="N3:O3"/>
    <mergeCell ref="P3:Q3"/>
    <mergeCell ref="H28:I28"/>
    <mergeCell ref="J28:K28"/>
    <mergeCell ref="L28:M28"/>
    <mergeCell ref="I38:J38"/>
    <mergeCell ref="K38:L38"/>
    <mergeCell ref="M38:N38"/>
  </mergeCells>
  <pageMargins left="0.74803149606299213" right="0.74803149606299213" top="0.39370078740157483" bottom="0.19685039370078741" header="0.51181102362204722" footer="0.51181102362204722"/>
  <pageSetup paperSize="9" scale="36" orientation="landscape" horizontalDpi="4294967292" verticalDpi="4294967292" r:id="rId1"/>
  <headerFooter>
    <oddFooter>&amp;R&amp;A</oddFooter>
  </headerFooter>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F281"/>
  <sheetViews>
    <sheetView zoomScaleNormal="100" workbookViewId="0">
      <selection activeCell="C19" sqref="C19:D19"/>
    </sheetView>
  </sheetViews>
  <sheetFormatPr baseColWidth="10" defaultColWidth="10.6640625" defaultRowHeight="12.75"/>
  <cols>
    <col min="1" max="1" width="16.33203125" style="177" customWidth="1"/>
    <col min="2" max="3" width="50.6640625" style="177" customWidth="1"/>
    <col min="4" max="4" width="50.6640625" style="79" customWidth="1"/>
    <col min="5" max="5" width="23.88671875" style="79" bestFit="1" customWidth="1"/>
    <col min="6" max="6" width="22.5546875" style="79" bestFit="1" customWidth="1"/>
    <col min="7" max="7" width="10.6640625" style="79" customWidth="1"/>
    <col min="8" max="16384" width="10.6640625" style="79"/>
  </cols>
  <sheetData>
    <row r="1" spans="1:4">
      <c r="B1" s="177" t="s">
        <v>34</v>
      </c>
      <c r="C1" s="177" t="s">
        <v>702</v>
      </c>
    </row>
    <row r="2" spans="1:4">
      <c r="B2" s="215">
        <f>IF(Langue!C8="",3,4)</f>
        <v>3</v>
      </c>
      <c r="C2" s="311">
        <v>2022</v>
      </c>
    </row>
    <row r="4" spans="1:4">
      <c r="A4" s="217" t="s">
        <v>35</v>
      </c>
      <c r="B4" s="217" t="s">
        <v>36</v>
      </c>
      <c r="C4" s="217" t="s">
        <v>37</v>
      </c>
      <c r="D4" s="218" t="s">
        <v>38</v>
      </c>
    </row>
    <row r="6" spans="1:4" ht="84" customHeight="1">
      <c r="A6" s="177" t="s">
        <v>393</v>
      </c>
      <c r="B6" s="219" t="str">
        <f t="shared" ref="B6:B21" si="0">VLOOKUP(A6,A$4:F$371,B$2,FALSE)</f>
        <v>Mit diesem Erhebungsinstrument erfasst das Bundesamt für Statistik Preise von IT-Dienstleistungen zwecks Messung der Entwicklung der Produzentenpreise. Das BFS erstellt mit den erhobenen Daten Preisindizes für IT-Dienstleistungen. Bitte lesen Sie die nachfolgenden Erläuterungen aufmerksam durch. So wird Ihnen das Ausfüllen des Erhebungsbogen deutlich erleichtert.</v>
      </c>
      <c r="C6" s="220" t="s">
        <v>573</v>
      </c>
      <c r="D6" s="220" t="s">
        <v>622</v>
      </c>
    </row>
    <row r="7" spans="1:4" ht="96.75" customHeight="1">
      <c r="A7" s="177" t="s">
        <v>394</v>
      </c>
      <c r="B7" s="219" t="str">
        <f t="shared" si="0"/>
        <v>Sie werden durch dieses Excel-File geführt, indem nur die für Sie relevanten Excel-Blätter aufgerufen werden. Bitte tätigen Sie Ihre Angaben in den graugrün hinterlegten Feldern. Die blauen Felder dienen als Hilfestellung, hier werden Erläuterungen und Beispiele zum Ausfüllen gegeben. Hinweise zu noch fehlenden Angaben erscheinen oben rechts im Erhebungsbogen in roter Schrift direkt unter dem Kästchen, das den Erfassungsfortschritt anzeigt.</v>
      </c>
      <c r="C7" s="220" t="s">
        <v>689</v>
      </c>
      <c r="D7" s="220" t="s">
        <v>711</v>
      </c>
    </row>
    <row r="8" spans="1:4" ht="143.25" customHeight="1">
      <c r="A8" s="177" t="s">
        <v>395</v>
      </c>
      <c r="B8" s="219" t="str">
        <f t="shared" si="0"/>
        <v>Sobald auf einem Excel-Blatt die minimal notwendigen Angaben vorliegen, erscheint am unteren Rand ein gelb hinterlegtes Feld "WEITER". Sie können noch weitere Angaben tätigen oder auf dieses Feld klicken, um diese Seite abzuschliessen und zum nächsten relevanten Excel-Blatt zu gelangen. Bitte nutzen Sie zum Abschliessen eines Bogens immer dieses "WEITER"-Feld. Achten Sie dabei auch darauf, dass Sie genau dieses Feld anklicken. Durch dieses Vorgehen wird Ihr Erhebungsaufwand auf ein Minimum reduziert, weil Sie automatisch auf die für Ihre Unternehmung wichtigen Excel-Blätter geleitet werden. Über das Feld "ZURÜCK" können Sie nach Bedarf zur vorgelagerten Seite zurückkehren, um bisherige Eingaben zu kontrollieren bzw. zu korrigieren. Hinweis: mit der Tastenkombination Ctrl-PageDown können Sie nötigenfalls manuell zum nächsten Blatt wechseln (ab Excel 2007).</v>
      </c>
      <c r="C8" s="220" t="s">
        <v>732</v>
      </c>
      <c r="D8" s="220" t="s">
        <v>733</v>
      </c>
    </row>
    <row r="9" spans="1:4" ht="54.75" customHeight="1">
      <c r="A9" s="177" t="s">
        <v>396</v>
      </c>
      <c r="B9" s="219" t="str">
        <f t="shared" si="0"/>
        <v>Am Ende der Umfrage werden Sie aufgefordert die Datei zu speichern und es wird Ihnen nochmals die Kontaktadresse angezeigt, an die Sie die ausgefüllte Excel-Datei schicken müssen. Bitte melden Sie sich zuvor per E-Mail, falls Sie eine gesicherte Übertragung des Dokuments wünschen.</v>
      </c>
      <c r="C9" s="220" t="s">
        <v>686</v>
      </c>
      <c r="D9" s="220" t="s">
        <v>688</v>
      </c>
    </row>
    <row r="10" spans="1:4" ht="25.5">
      <c r="A10" s="177" t="s">
        <v>397</v>
      </c>
      <c r="B10" s="219" t="str">
        <f t="shared" si="0"/>
        <v>Bitte achten Sie stets darauf, dass alle abgefragten Preise ohne Mehrwertsteuer gemeldet werden.</v>
      </c>
      <c r="C10" s="220" t="s">
        <v>407</v>
      </c>
      <c r="D10" s="220" t="s">
        <v>411</v>
      </c>
    </row>
    <row r="11" spans="1:4" ht="25.5">
      <c r="A11" s="177" t="s">
        <v>398</v>
      </c>
      <c r="B11" s="219" t="str">
        <f t="shared" si="0"/>
        <v>Für Fragen, Anmerkungen und Auskünfte inhaltlicher Art steht Ihnen gerne zur Verfügung:</v>
      </c>
      <c r="C11" s="220" t="s">
        <v>574</v>
      </c>
      <c r="D11" s="220" t="s">
        <v>412</v>
      </c>
    </row>
    <row r="12" spans="1:4">
      <c r="A12" s="177" t="s">
        <v>399</v>
      </c>
      <c r="B12" s="219" t="str">
        <f t="shared" si="0"/>
        <v>Mirko Huber, Bundesamt für Statistik BFS, Neuenburg</v>
      </c>
      <c r="C12" s="220" t="s">
        <v>726</v>
      </c>
      <c r="D12" s="220" t="s">
        <v>727</v>
      </c>
    </row>
    <row r="13" spans="1:4">
      <c r="A13" s="177" t="s">
        <v>400</v>
      </c>
      <c r="B13" s="219" t="str">
        <f t="shared" si="0"/>
        <v>E-Mail:    mirko.huber@bfs.admin.ch</v>
      </c>
      <c r="C13" s="220" t="s">
        <v>728</v>
      </c>
      <c r="D13" s="220" t="s">
        <v>729</v>
      </c>
    </row>
    <row r="14" spans="1:4">
      <c r="A14" s="177" t="s">
        <v>401</v>
      </c>
      <c r="B14" s="219" t="str">
        <f t="shared" si="0"/>
        <v>Telefon:  +41 58 463 67 95</v>
      </c>
      <c r="C14" s="220" t="s">
        <v>731</v>
      </c>
      <c r="D14" s="220" t="s">
        <v>730</v>
      </c>
    </row>
    <row r="15" spans="1:4">
      <c r="A15" s="177" t="s">
        <v>402</v>
      </c>
      <c r="B15" s="219" t="str">
        <f t="shared" si="0"/>
        <v>Administrative und organisatorische Auskünfte erteilt:</v>
      </c>
      <c r="C15" s="220" t="s">
        <v>578</v>
      </c>
      <c r="D15" s="220" t="s">
        <v>623</v>
      </c>
    </row>
    <row r="16" spans="1:4">
      <c r="A16" s="177" t="s">
        <v>403</v>
      </c>
      <c r="B16" s="219" t="str">
        <f t="shared" si="0"/>
        <v>Alexia Messerli, Bundesamt für Statistik BFS, Neuenburg</v>
      </c>
      <c r="C16" s="220" t="s">
        <v>744</v>
      </c>
      <c r="D16" s="220" t="s">
        <v>745</v>
      </c>
    </row>
    <row r="17" spans="1:6">
      <c r="A17" s="177" t="s">
        <v>404</v>
      </c>
      <c r="B17" s="219" t="str">
        <f t="shared" si="0"/>
        <v>E-Mail:    ppiprod@bfs.admin.ch</v>
      </c>
      <c r="C17" s="220" t="s">
        <v>736</v>
      </c>
      <c r="D17" s="220" t="s">
        <v>737</v>
      </c>
    </row>
    <row r="18" spans="1:6">
      <c r="A18" s="177" t="s">
        <v>405</v>
      </c>
      <c r="B18" s="219" t="str">
        <f t="shared" si="0"/>
        <v>Telefon:  +41 58 467 89 84</v>
      </c>
      <c r="C18" s="220" t="s">
        <v>746</v>
      </c>
      <c r="D18" s="220" t="s">
        <v>747</v>
      </c>
    </row>
    <row r="19" spans="1:6">
      <c r="A19" s="177" t="s">
        <v>575</v>
      </c>
      <c r="B19" s="219" t="str">
        <f t="shared" si="0"/>
        <v>Bitte senden Sie dieses Dokument bis spätestens am 13. Mai 2022 an:</v>
      </c>
      <c r="C19" s="317" t="s">
        <v>742</v>
      </c>
      <c r="D19" s="317" t="s">
        <v>743</v>
      </c>
    </row>
    <row r="20" spans="1:6" ht="54" customHeight="1">
      <c r="A20" s="177" t="s">
        <v>576</v>
      </c>
      <c r="B20" s="219" t="str">
        <f t="shared" si="0"/>
        <v xml:space="preserve">Falls Rückfragen unsererseits bestehen werden wir Sie in den nächsten Wochen nochmals kontaktieren. Die nächste Preiserhebung findet dann in einem Jahr statt. In der Preiserhebung im nächsten Jahr werden die von Ihnen gemachten Angaben aus diesem Jahr sichtbar sein. </v>
      </c>
      <c r="C20" s="220" t="s">
        <v>687</v>
      </c>
      <c r="D20" s="220" t="s">
        <v>704</v>
      </c>
    </row>
    <row r="21" spans="1:6">
      <c r="A21" s="177" t="s">
        <v>577</v>
      </c>
      <c r="B21" s="219" t="str">
        <f t="shared" si="0"/>
        <v>Wir danken Ihnen herzlich für Ihre wertvolle Mitarbeit!</v>
      </c>
      <c r="C21" s="220" t="s">
        <v>10</v>
      </c>
      <c r="D21" s="220" t="s">
        <v>413</v>
      </c>
    </row>
    <row r="22" spans="1:6">
      <c r="C22" s="220"/>
      <c r="D22" s="220"/>
    </row>
    <row r="23" spans="1:6">
      <c r="A23" s="177" t="s">
        <v>39</v>
      </c>
      <c r="B23" s="219" t="str">
        <f t="shared" ref="B23:B40" si="1">VLOOKUP(A23,A$4:F$371,B$2,FALSE)</f>
        <v>März 2022</v>
      </c>
      <c r="C23" s="230" t="str">
        <f>"März "&amp;$C$2</f>
        <v>März 2022</v>
      </c>
      <c r="D23" s="230" t="str">
        <f>"Mars "&amp;$C$2</f>
        <v>Mars 2022</v>
      </c>
    </row>
    <row r="24" spans="1:6">
      <c r="A24" s="177" t="s">
        <v>40</v>
      </c>
      <c r="B24" s="219" t="str">
        <f t="shared" si="1"/>
        <v>März 2021</v>
      </c>
      <c r="C24" s="230" t="str">
        <f>"März "&amp;$C$2-1</f>
        <v>März 2021</v>
      </c>
      <c r="D24" s="230" t="str">
        <f>"Mars "&amp;$C$2-1</f>
        <v>Mars 2021</v>
      </c>
    </row>
    <row r="25" spans="1:6">
      <c r="A25" s="177" t="s">
        <v>41</v>
      </c>
      <c r="B25" s="219">
        <f t="shared" si="1"/>
        <v>0</v>
      </c>
      <c r="C25" s="216"/>
      <c r="D25" s="216"/>
      <c r="E25" s="198" t="s">
        <v>42</v>
      </c>
      <c r="F25" s="198" t="s">
        <v>42</v>
      </c>
    </row>
    <row r="26" spans="1:6">
      <c r="A26" s="177" t="s">
        <v>43</v>
      </c>
      <c r="B26" s="219">
        <f t="shared" si="1"/>
        <v>0</v>
      </c>
      <c r="C26" s="216"/>
      <c r="D26" s="216"/>
      <c r="E26" s="198" t="s">
        <v>44</v>
      </c>
      <c r="F26" s="198" t="s">
        <v>44</v>
      </c>
    </row>
    <row r="27" spans="1:6">
      <c r="A27" s="177" t="s">
        <v>45</v>
      </c>
      <c r="B27" s="219">
        <f t="shared" si="1"/>
        <v>0</v>
      </c>
      <c r="C27" s="216"/>
      <c r="D27" s="216"/>
      <c r="E27" s="198" t="s">
        <v>46</v>
      </c>
      <c r="F27" s="198" t="s">
        <v>46</v>
      </c>
    </row>
    <row r="28" spans="1:6">
      <c r="A28" s="177" t="s">
        <v>657</v>
      </c>
      <c r="B28" s="219" t="str">
        <f t="shared" si="1"/>
        <v>Angaben zur Firma</v>
      </c>
      <c r="C28" s="220" t="s">
        <v>640</v>
      </c>
      <c r="D28" s="220" t="s">
        <v>659</v>
      </c>
    </row>
    <row r="29" spans="1:6">
      <c r="A29" s="177" t="s">
        <v>692</v>
      </c>
      <c r="B29" s="219" t="str">
        <f t="shared" si="1"/>
        <v>Unternehmens-Identifikationsnummer (UID)</v>
      </c>
      <c r="C29" s="220" t="s">
        <v>700</v>
      </c>
      <c r="D29" s="220" t="s">
        <v>701</v>
      </c>
    </row>
    <row r="30" spans="1:6">
      <c r="A30" s="177" t="s">
        <v>694</v>
      </c>
      <c r="B30" s="219" t="str">
        <f t="shared" si="1"/>
        <v>und / oder</v>
      </c>
      <c r="C30" s="220" t="s">
        <v>693</v>
      </c>
      <c r="D30" s="220" t="s">
        <v>695</v>
      </c>
    </row>
    <row r="31" spans="1:6">
      <c r="A31" s="177" t="s">
        <v>47</v>
      </c>
      <c r="B31" s="219" t="str">
        <f t="shared" si="1"/>
        <v>Firmenname</v>
      </c>
      <c r="C31" s="220" t="s">
        <v>634</v>
      </c>
      <c r="D31" s="220" t="s">
        <v>651</v>
      </c>
    </row>
    <row r="32" spans="1:6">
      <c r="A32" s="177" t="s">
        <v>646</v>
      </c>
      <c r="B32" s="219" t="str">
        <f t="shared" si="1"/>
        <v>Strasse</v>
      </c>
      <c r="C32" s="220" t="s">
        <v>635</v>
      </c>
      <c r="D32" s="220" t="s">
        <v>658</v>
      </c>
    </row>
    <row r="33" spans="1:4">
      <c r="A33" s="177" t="s">
        <v>645</v>
      </c>
      <c r="B33" s="219" t="str">
        <f t="shared" si="1"/>
        <v>Hausnummer</v>
      </c>
      <c r="C33" s="220" t="s">
        <v>638</v>
      </c>
      <c r="D33" s="220" t="s">
        <v>648</v>
      </c>
    </row>
    <row r="34" spans="1:4">
      <c r="A34" s="177" t="s">
        <v>647</v>
      </c>
      <c r="B34" s="219" t="str">
        <f t="shared" si="1"/>
        <v>PLZ</v>
      </c>
      <c r="C34" s="220" t="s">
        <v>636</v>
      </c>
      <c r="D34" s="220" t="s">
        <v>650</v>
      </c>
    </row>
    <row r="35" spans="1:4">
      <c r="A35" s="177" t="s">
        <v>48</v>
      </c>
      <c r="B35" s="219" t="str">
        <f t="shared" si="1"/>
        <v>Ort</v>
      </c>
      <c r="C35" s="220" t="s">
        <v>637</v>
      </c>
      <c r="D35" s="220" t="s">
        <v>649</v>
      </c>
    </row>
    <row r="36" spans="1:4">
      <c r="A36" s="177" t="s">
        <v>652</v>
      </c>
      <c r="B36" s="219" t="str">
        <f t="shared" si="1"/>
        <v>Ansprechperson</v>
      </c>
      <c r="C36" s="220" t="s">
        <v>639</v>
      </c>
      <c r="D36" s="220" t="s">
        <v>705</v>
      </c>
    </row>
    <row r="37" spans="1:4">
      <c r="A37" s="177" t="s">
        <v>49</v>
      </c>
      <c r="B37" s="219" t="str">
        <f t="shared" si="1"/>
        <v>Vorname</v>
      </c>
      <c r="C37" s="220" t="s">
        <v>641</v>
      </c>
      <c r="D37" s="220" t="s">
        <v>653</v>
      </c>
    </row>
    <row r="38" spans="1:4">
      <c r="A38" s="177" t="s">
        <v>50</v>
      </c>
      <c r="B38" s="219" t="str">
        <f t="shared" si="1"/>
        <v>Name</v>
      </c>
      <c r="C38" s="220" t="s">
        <v>655</v>
      </c>
      <c r="D38" s="220" t="s">
        <v>654</v>
      </c>
    </row>
    <row r="39" spans="1:4">
      <c r="A39" s="177" t="s">
        <v>644</v>
      </c>
      <c r="B39" s="219" t="str">
        <f t="shared" si="1"/>
        <v>Telefon</v>
      </c>
      <c r="C39" s="220" t="s">
        <v>642</v>
      </c>
      <c r="D39" s="220" t="s">
        <v>656</v>
      </c>
    </row>
    <row r="40" spans="1:4">
      <c r="A40" s="177" t="s">
        <v>51</v>
      </c>
      <c r="B40" s="219" t="str">
        <f t="shared" si="1"/>
        <v>E-Mail</v>
      </c>
      <c r="C40" s="220" t="s">
        <v>661</v>
      </c>
      <c r="D40" s="220" t="s">
        <v>643</v>
      </c>
    </row>
    <row r="41" spans="1:4">
      <c r="B41" s="219"/>
      <c r="C41" s="221"/>
      <c r="D41" s="220"/>
    </row>
    <row r="42" spans="1:4">
      <c r="A42" s="177" t="s">
        <v>52</v>
      </c>
      <c r="B42" s="219" t="str">
        <f t="shared" ref="B42:B53" si="2">VLOOKUP(A42,A$4:F$371,B$2,FALSE)</f>
        <v>Preiserhebung</v>
      </c>
      <c r="C42" s="220" t="s">
        <v>53</v>
      </c>
      <c r="D42" s="220" t="s">
        <v>414</v>
      </c>
    </row>
    <row r="43" spans="1:4">
      <c r="A43" s="177" t="s">
        <v>54</v>
      </c>
      <c r="B43" s="219" t="str">
        <f t="shared" si="2"/>
        <v>Produzentenpreisindex</v>
      </c>
      <c r="C43" s="220" t="s">
        <v>55</v>
      </c>
      <c r="D43" s="220" t="s">
        <v>703</v>
      </c>
    </row>
    <row r="44" spans="1:4">
      <c r="A44" s="177" t="s">
        <v>56</v>
      </c>
      <c r="B44" s="219" t="str">
        <f t="shared" si="2"/>
        <v>Informatikdienstleistungen</v>
      </c>
      <c r="C44" s="220" t="s">
        <v>57</v>
      </c>
      <c r="D44" s="220" t="s">
        <v>415</v>
      </c>
    </row>
    <row r="45" spans="1:4">
      <c r="A45" s="177" t="s">
        <v>58</v>
      </c>
      <c r="B45" s="219" t="str">
        <f t="shared" si="2"/>
        <v/>
      </c>
      <c r="C45" s="221" t="str">
        <f>IF(SUM(C25:C27)=0,"",C25&amp;", "&amp;C26&amp;", "&amp;C27)</f>
        <v/>
      </c>
      <c r="D45" s="221" t="str">
        <f>IF(SUM(D25:D27)=0,"",D25&amp;", "&amp;D26&amp;", "&amp;D27)</f>
        <v/>
      </c>
    </row>
    <row r="46" spans="1:4">
      <c r="A46" s="177" t="s">
        <v>59</v>
      </c>
      <c r="B46" s="219" t="str">
        <f t="shared" si="2"/>
        <v>PMS-Nr. 0</v>
      </c>
      <c r="C46" s="315" t="str">
        <f>'Intro 2'!A8 &amp; " " &amp; 'Intro 2'!D8</f>
        <v>PMS-Nr. 0</v>
      </c>
      <c r="D46" s="315" t="str">
        <f>'Intro 2'!A8 &amp; " " &amp; 'Intro 2'!D8</f>
        <v>PMS-Nr. 0</v>
      </c>
    </row>
    <row r="47" spans="1:4">
      <c r="A47" s="177" t="s">
        <v>60</v>
      </c>
      <c r="B47" s="219" t="str">
        <f t="shared" si="2"/>
        <v>Geschäftsfeld</v>
      </c>
      <c r="C47" s="220" t="s">
        <v>0</v>
      </c>
      <c r="D47" s="220" t="s">
        <v>416</v>
      </c>
    </row>
    <row r="48" spans="1:4">
      <c r="A48" s="177" t="s">
        <v>61</v>
      </c>
      <c r="B48" s="219" t="str">
        <f t="shared" si="2"/>
        <v>Dienstleistungstyp</v>
      </c>
      <c r="C48" s="220" t="s">
        <v>62</v>
      </c>
      <c r="D48" s="220" t="s">
        <v>417</v>
      </c>
    </row>
    <row r="49" spans="1:4">
      <c r="A49" s="177" t="s">
        <v>63</v>
      </c>
      <c r="B49" s="219" t="str">
        <f t="shared" si="2"/>
        <v>Programmierungstätigkeiten</v>
      </c>
      <c r="C49" s="220" t="s">
        <v>1</v>
      </c>
      <c r="D49" s="220" t="s">
        <v>418</v>
      </c>
    </row>
    <row r="50" spans="1:4">
      <c r="A50" s="177" t="s">
        <v>68</v>
      </c>
      <c r="B50" s="219" t="str">
        <f t="shared" si="2"/>
        <v>IT-Beratungsdienstleistungen</v>
      </c>
      <c r="C50" s="220" t="s">
        <v>69</v>
      </c>
      <c r="D50" s="220" t="s">
        <v>419</v>
      </c>
    </row>
    <row r="51" spans="1:4">
      <c r="A51" s="177" t="s">
        <v>76</v>
      </c>
      <c r="B51" s="219" t="str">
        <f t="shared" si="2"/>
        <v>Betrieb-, Support-, Installations- und Wartungsleistungen</v>
      </c>
      <c r="C51" s="220" t="s">
        <v>2</v>
      </c>
      <c r="D51" s="220" t="s">
        <v>420</v>
      </c>
    </row>
    <row r="52" spans="1:4">
      <c r="A52" s="177" t="s">
        <v>81</v>
      </c>
      <c r="B52" s="219" t="str">
        <f t="shared" si="2"/>
        <v>IT-Infrastrukturdienste</v>
      </c>
      <c r="C52" s="220" t="s">
        <v>3</v>
      </c>
      <c r="D52" s="220" t="s">
        <v>421</v>
      </c>
    </row>
    <row r="53" spans="1:4">
      <c r="A53" s="177" t="s">
        <v>194</v>
      </c>
      <c r="B53" s="219" t="str">
        <f t="shared" si="2"/>
        <v>Geschäftsfelder ausserhalb der IT-Dienstleistungen</v>
      </c>
      <c r="C53" s="220" t="s">
        <v>4</v>
      </c>
      <c r="D53" s="220" t="s">
        <v>422</v>
      </c>
    </row>
    <row r="54" spans="1:4">
      <c r="B54" s="219"/>
      <c r="C54" s="220"/>
      <c r="D54" s="220"/>
    </row>
    <row r="55" spans="1:4">
      <c r="A55" s="177" t="s">
        <v>64</v>
      </c>
      <c r="B55" s="219" t="str">
        <f t="shared" ref="B55:B64" si="3">VLOOKUP(A55,A$4:F$371,B$2,FALSE)</f>
        <v>Software nach Kundenwunsch</v>
      </c>
      <c r="C55" s="220" t="s">
        <v>65</v>
      </c>
      <c r="D55" s="220" t="s">
        <v>423</v>
      </c>
    </row>
    <row r="56" spans="1:4">
      <c r="A56" s="177" t="s">
        <v>66</v>
      </c>
      <c r="B56" s="219" t="str">
        <f t="shared" si="3"/>
        <v>Standardsoftware</v>
      </c>
      <c r="C56" s="220" t="s">
        <v>67</v>
      </c>
      <c r="D56" s="220" t="s">
        <v>424</v>
      </c>
    </row>
    <row r="57" spans="1:4">
      <c r="A57" s="177" t="s">
        <v>70</v>
      </c>
      <c r="B57" s="219" t="str">
        <f t="shared" si="3"/>
        <v>Beratung zu Hard- &amp; Softwarebeschaffung</v>
      </c>
      <c r="C57" s="220" t="s">
        <v>71</v>
      </c>
      <c r="D57" s="220" t="s">
        <v>425</v>
      </c>
    </row>
    <row r="58" spans="1:4">
      <c r="A58" s="177" t="s">
        <v>72</v>
      </c>
      <c r="B58" s="219" t="str">
        <f t="shared" si="3"/>
        <v>Expertise zur Systemintegration</v>
      </c>
      <c r="C58" s="220" t="s">
        <v>73</v>
      </c>
      <c r="D58" s="220" t="s">
        <v>426</v>
      </c>
    </row>
    <row r="59" spans="1:4">
      <c r="A59" s="177" t="s">
        <v>74</v>
      </c>
      <c r="B59" s="219" t="str">
        <f t="shared" si="3"/>
        <v>Schulung &amp; Training</v>
      </c>
      <c r="C59" s="220" t="s">
        <v>75</v>
      </c>
      <c r="D59" s="220" t="s">
        <v>427</v>
      </c>
    </row>
    <row r="60" spans="1:4">
      <c r="A60" s="177" t="s">
        <v>77</v>
      </c>
      <c r="B60" s="219" t="str">
        <f t="shared" si="3"/>
        <v>Betrieb, Support &amp; Wartung</v>
      </c>
      <c r="C60" s="220" t="s">
        <v>78</v>
      </c>
      <c r="D60" s="220" t="s">
        <v>428</v>
      </c>
    </row>
    <row r="61" spans="1:4">
      <c r="A61" s="177" t="s">
        <v>79</v>
      </c>
      <c r="B61" s="219" t="str">
        <f t="shared" si="3"/>
        <v>Installation</v>
      </c>
      <c r="C61" s="220" t="s">
        <v>80</v>
      </c>
      <c r="D61" s="220" t="s">
        <v>80</v>
      </c>
    </row>
    <row r="62" spans="1:4">
      <c r="A62" s="177" t="s">
        <v>82</v>
      </c>
      <c r="B62" s="219" t="str">
        <f t="shared" si="3"/>
        <v>Infrastructure as a Service (IaaS)</v>
      </c>
      <c r="C62" s="220" t="s">
        <v>83</v>
      </c>
      <c r="D62" s="220" t="s">
        <v>83</v>
      </c>
    </row>
    <row r="63" spans="1:4">
      <c r="A63" s="177" t="s">
        <v>84</v>
      </c>
      <c r="B63" s="219" t="str">
        <f t="shared" si="3"/>
        <v>Platform as a Service (PaaS)</v>
      </c>
      <c r="C63" s="220" t="s">
        <v>85</v>
      </c>
      <c r="D63" s="220" t="s">
        <v>85</v>
      </c>
    </row>
    <row r="64" spans="1:4">
      <c r="A64" s="177" t="s">
        <v>86</v>
      </c>
      <c r="B64" s="219" t="str">
        <f t="shared" si="3"/>
        <v>Software as a Service (SaaS)</v>
      </c>
      <c r="C64" s="220" t="s">
        <v>87</v>
      </c>
      <c r="D64" s="220" t="s">
        <v>87</v>
      </c>
    </row>
    <row r="65" spans="1:4">
      <c r="C65" s="220"/>
      <c r="D65" s="220"/>
    </row>
    <row r="66" spans="1:4" ht="63.75">
      <c r="A66" s="177" t="s">
        <v>208</v>
      </c>
      <c r="B66" s="219" t="str">
        <f>VLOOKUP(A66,A$4:F$371,B$2,FALSE)</f>
        <v>Das Geschäftsfeld "Programmierungstätigkeit" umfasst das Entwerfen der Struktur und des Inhalts zur Herstellung von Systemsoftware, Softwareanwendungen, Datenbanken und Web-Seiten. In diesem Geschäftsfeld werden die Dienstleistungstypen "Software nach Kundenwunsch" und "Standardsoftware" unterschieden.</v>
      </c>
      <c r="C66" s="220" t="s">
        <v>196</v>
      </c>
      <c r="D66" s="220" t="s">
        <v>429</v>
      </c>
    </row>
    <row r="67" spans="1:4" ht="63.75">
      <c r="A67" s="177" t="s">
        <v>209</v>
      </c>
      <c r="B67" s="219" t="str">
        <f>VLOOKUP(A67,A$4:F$371,B$2,FALSE)</f>
        <v>Das Geschäftfeld "Beratungdienstleistungen" umfasst die Planung und den Entwurf von Computersysteme und differenziert zwischen den Dienstleistungstypen "Beratung zu Hard- und Softwarebeschaffung", "Expertise zur Systemintegration" und "Schulung &amp; Training".</v>
      </c>
      <c r="C67" s="220" t="s">
        <v>719</v>
      </c>
      <c r="D67" s="220" t="s">
        <v>430</v>
      </c>
    </row>
    <row r="68" spans="1:4" ht="63.75">
      <c r="A68" s="177" t="s">
        <v>210</v>
      </c>
      <c r="B68" s="219" t="str">
        <f>VLOOKUP(A68,A$4:F$371,B$2,FALSE)</f>
        <v>Das Geschäftsfeld "Betrieb-, Support-, Installations- und Wartungsleistungen" umfasst den Betrieb, den Support und die Wartung von Computeranlagen für Dritte, sowie die Installation von Software. Es beinhaltet die Dienstleistungstypen: "Betrieb, Support und Wartung" und "Installation".</v>
      </c>
      <c r="C68" s="220" t="s">
        <v>199</v>
      </c>
      <c r="D68" s="220" t="s">
        <v>431</v>
      </c>
    </row>
    <row r="69" spans="1:4" ht="63.75">
      <c r="A69" s="177" t="s">
        <v>211</v>
      </c>
      <c r="B69" s="219" t="str">
        <f>VLOOKUP(A69,A$4:F$371,B$2,FALSE)</f>
        <v>Das Geschäftsfeld "IT-Infrastrukturdienste" umfasst die Bereitstellung von Infrastrukturen für Hosting und Datenverarbeitungsdienste. Teil dieses Geschäftsfeldes sind die Dienstleistungstypen "Infrastructure as a Service (IaaS)", " Platform as a Service (PaaS)" und "Software as a Service (SaaS)".</v>
      </c>
      <c r="C69" s="220" t="s">
        <v>197</v>
      </c>
      <c r="D69" s="220" t="s">
        <v>432</v>
      </c>
    </row>
    <row r="70" spans="1:4" ht="38.25">
      <c r="A70" s="177" t="s">
        <v>198</v>
      </c>
      <c r="B70" s="219" t="str">
        <f>VLOOKUP(A70,A$4:F$371,B$2,FALSE)</f>
        <v>Sollten Sie Komplettpakete (bspw. Beratungsdienstleistungen inkl. Programmierungstätigkeiten) anbieten, sind die Tätigkeiten entsprechend ihren Umsatzanteilen auf die Geschäftsfelder aufzuteilen.</v>
      </c>
      <c r="C70" s="220" t="s">
        <v>12</v>
      </c>
      <c r="D70" s="220" t="s">
        <v>706</v>
      </c>
    </row>
    <row r="71" spans="1:4">
      <c r="B71" s="219"/>
      <c r="C71" s="220"/>
      <c r="D71" s="220"/>
    </row>
    <row r="72" spans="1:4" ht="127.5">
      <c r="A72" s="177" t="s">
        <v>212</v>
      </c>
      <c r="B72" s="219" t="str">
        <f t="shared" ref="B72:B81" si="4">VLOOKUP(A72,A$4:F$371,B$2,FALSE)</f>
        <v>Dienstleistungstyp "Software nach Kundenwunsch" beinhaltet das Entwerfen des Aufbaus und/oder Schreibens des Computercodes einschliesslich der Aktualisierungen und Korrekturen, die für die Erstellung und Realisierung einer Softwareanwendung erforderlich sind. Zudem die Entwicklung und die Einrichtung von Kundennetzwerken wie Intranets, Extranets und virtuellen privaten Netzwerken und Dienstleistungen der Netzsicherheitsplanung und -entwicklung (d.h. Entwerfen, Entwickeln und Realisieren von Software, Hardware und Verfahren zur Kontrolle des Zugangs zu Daten und Programmen und zur Ermöglichung eines sicheren Informationsaustauschs über ein Netz).</v>
      </c>
      <c r="C72" s="220" t="s">
        <v>181</v>
      </c>
      <c r="D72" s="220" t="s">
        <v>433</v>
      </c>
    </row>
    <row r="73" spans="1:4" ht="38.25">
      <c r="A73" s="177" t="s">
        <v>213</v>
      </c>
      <c r="B73" s="219" t="str">
        <f t="shared" si="4"/>
        <v>Der Dienstleistungstyp "Standardsoftware" umfasst die Herstellung von Software, die ohne konkreten Auftrag produziert wird und für den Verkauf bestimmte Originale, die urheberrechtlich geschützt sind.</v>
      </c>
      <c r="C73" s="220" t="s">
        <v>182</v>
      </c>
      <c r="D73" s="220" t="s">
        <v>434</v>
      </c>
    </row>
    <row r="74" spans="1:4" ht="51">
      <c r="A74" s="177" t="s">
        <v>214</v>
      </c>
      <c r="B74" s="219" t="str">
        <f t="shared" si="4"/>
        <v xml:space="preserve">Der Dienstleistungstyp "Beratung zu Hard- und Softwarebeschaffung" beinhaltet die Bereitstellung von Rat oder Fachmeinungen zu IT-Angelegenheiten in Bezug auf Hardware, sowie auf die IT-Systeme und die Software. </v>
      </c>
      <c r="C74" s="220" t="s">
        <v>217</v>
      </c>
      <c r="D74" s="220" t="s">
        <v>435</v>
      </c>
    </row>
    <row r="75" spans="1:4" ht="76.5">
      <c r="A75" s="177" t="s">
        <v>215</v>
      </c>
      <c r="B75" s="219" t="str">
        <f t="shared" si="4"/>
        <v>Der Dienstleistungstyp "Expertise zur Systemintegration" umfasst die Beratung zur Integration von Computersystemen (d.h. bspw. die Analyse des vorhandenen Computersystems des Kunden in Bezug auf seine gegenwärtigen sowie künftigen IT-Bedürfnisse), die Beratung bezüglich der Anschaffung neuer Geräte und Software sowie die Beratung zur Integration der neuen mit den alten Systemen zu einem neuen, integrierten System.</v>
      </c>
      <c r="C75" s="220" t="s">
        <v>218</v>
      </c>
      <c r="D75" s="220" t="s">
        <v>436</v>
      </c>
    </row>
    <row r="76" spans="1:4" ht="51">
      <c r="A76" s="177" t="s">
        <v>216</v>
      </c>
      <c r="B76" s="219" t="str">
        <f t="shared" si="4"/>
        <v>Im Dienstleistungstyp "Schulung und Training" wird die Bereitstellung von Fachwissen zur Lösung von Problemen des Kunden bei der Nutzung von Software, Hardware und gesamten Computersystemen zusammengefasst.</v>
      </c>
      <c r="C76" s="220" t="s">
        <v>219</v>
      </c>
      <c r="D76" s="220" t="s">
        <v>437</v>
      </c>
    </row>
    <row r="77" spans="1:4" ht="51">
      <c r="A77" s="177" t="s">
        <v>307</v>
      </c>
      <c r="B77" s="219" t="str">
        <f t="shared" si="4"/>
        <v>Im Dienstleistungstyp "Betrieb, Support &amp; Wartung" wird die Datenwiederherstellung nach einem Systemabsturz, die Problembehebung, die (Fern)wartung, Updating-Dienste, Netzwerkanalyse &amp; -überwachung, HelpDesk oder auch Reparaturdienste zusammengefasst.</v>
      </c>
      <c r="C77" s="220" t="s">
        <v>312</v>
      </c>
      <c r="D77" s="220" t="s">
        <v>438</v>
      </c>
    </row>
    <row r="78" spans="1:4" ht="25.5">
      <c r="A78" s="177" t="s">
        <v>308</v>
      </c>
      <c r="B78" s="219" t="str">
        <f t="shared" si="4"/>
        <v>Der Dienstleistungstyp "Installation" beinhaltet das Installieren (Einrichten) von Arbeitsplatzrechnern und ähnlichen Tätigkeiten.</v>
      </c>
      <c r="C78" s="220" t="s">
        <v>313</v>
      </c>
      <c r="D78" s="220" t="s">
        <v>439</v>
      </c>
    </row>
    <row r="79" spans="1:4" ht="51">
      <c r="A79" s="177" t="s">
        <v>309</v>
      </c>
      <c r="B79" s="219" t="str">
        <f t="shared" si="4"/>
        <v>Der Dienstleistungstyp "Infrastrcture as a Service (IaaS)" umfasst die Bereitstellung von Serverleistung, Rechenkapazität, Speicherkapazität, Netzwerkdiensten etc., sowohl physisch wie auch virtuell separiert (z.B. ein Rack in einem RZ).</v>
      </c>
      <c r="C79" s="220" t="s">
        <v>718</v>
      </c>
      <c r="D79" s="220" t="s">
        <v>440</v>
      </c>
    </row>
    <row r="80" spans="1:4" ht="51">
      <c r="A80" s="177" t="s">
        <v>310</v>
      </c>
      <c r="B80" s="219" t="str">
        <f t="shared" si="4"/>
        <v>Der Dienstleistungstyp "Platform as a Service (PaaS)" erlaubt den Betrieb von eigener Software auf einer fremden Plattform wie z.B. das Web-Hosting mit Control Panels oder Datenbanklösungen.</v>
      </c>
      <c r="C80" s="222" t="s">
        <v>717</v>
      </c>
      <c r="D80" s="222" t="s">
        <v>621</v>
      </c>
    </row>
    <row r="81" spans="1:4" ht="51">
      <c r="A81" s="177" t="s">
        <v>311</v>
      </c>
      <c r="B81" s="219" t="str">
        <f t="shared" si="4"/>
        <v>Der Dienstleistungstyp "Software as a Service (SaaS)" erlaubt dem Kunden die Benützung von Softwarediensten auf einer fremden Infrastruktur, z.B. CRM (Customer Relationshiop Management) oder ERP (Enterprise Ressource Planning).</v>
      </c>
      <c r="C81" s="220" t="s">
        <v>555</v>
      </c>
      <c r="D81" s="220" t="s">
        <v>441</v>
      </c>
    </row>
    <row r="82" spans="1:4">
      <c r="B82" s="219"/>
      <c r="C82" s="220"/>
      <c r="D82" s="220"/>
    </row>
    <row r="83" spans="1:4" ht="25.5">
      <c r="A83" s="177" t="s">
        <v>186</v>
      </c>
      <c r="B83" s="219" t="str">
        <f t="shared" ref="B83:B105" si="5">VLOOKUP(A83,A$4:F$371,B$2,FALSE)</f>
        <v>Dienstleistungen gelten als exportiert, wenn die Adresse des Leistungsbezügers im Ausland liegt.</v>
      </c>
      <c r="C83" s="220" t="s">
        <v>187</v>
      </c>
      <c r="D83" s="220" t="s">
        <v>707</v>
      </c>
    </row>
    <row r="84" spans="1:4">
      <c r="A84" s="177" t="s">
        <v>236</v>
      </c>
      <c r="B84" s="219" t="str">
        <f t="shared" si="5"/>
        <v>Bitte im graugrünen Feld unten kurz beschreiben</v>
      </c>
      <c r="C84" s="220" t="s">
        <v>690</v>
      </c>
      <c r="D84" s="220" t="s">
        <v>691</v>
      </c>
    </row>
    <row r="85" spans="1:4">
      <c r="A85" s="177" t="s">
        <v>220</v>
      </c>
      <c r="B85" s="219" t="str">
        <f t="shared" si="5"/>
        <v>Wie offerieren Sie normalerweise Ihre Dienstleistungen?</v>
      </c>
      <c r="C85" s="220" t="s">
        <v>714</v>
      </c>
      <c r="D85" s="220" t="s">
        <v>442</v>
      </c>
    </row>
    <row r="86" spans="1:4">
      <c r="A86" s="177" t="s">
        <v>221</v>
      </c>
      <c r="B86" s="219" t="str">
        <f t="shared" si="5"/>
        <v xml:space="preserve">Häufig angewendete Preisfestsetzungsmethode mit einem "X" kennzeichnen </v>
      </c>
      <c r="C86" s="220" t="s">
        <v>7</v>
      </c>
      <c r="D86" s="220" t="s">
        <v>443</v>
      </c>
    </row>
    <row r="87" spans="1:4">
      <c r="A87" s="177" t="s">
        <v>222</v>
      </c>
      <c r="B87" s="219" t="str">
        <f t="shared" si="5"/>
        <v>Festpreis</v>
      </c>
      <c r="C87" s="220" t="s">
        <v>18</v>
      </c>
      <c r="D87" s="220" t="s">
        <v>444</v>
      </c>
    </row>
    <row r="88" spans="1:4">
      <c r="A88" s="177" t="s">
        <v>223</v>
      </c>
      <c r="B88" s="219" t="str">
        <f t="shared" si="5"/>
        <v>Zeithonorare</v>
      </c>
      <c r="C88" s="220" t="s">
        <v>14</v>
      </c>
      <c r="D88" s="220" t="s">
        <v>445</v>
      </c>
    </row>
    <row r="89" spans="1:4">
      <c r="A89" s="177" t="s">
        <v>237</v>
      </c>
      <c r="B89" s="219" t="str">
        <f t="shared" si="5"/>
        <v>Lizenzgebühr (ggf. zzgl. Recurring Fee)</v>
      </c>
      <c r="C89" s="220" t="s">
        <v>16</v>
      </c>
      <c r="D89" s="220" t="s">
        <v>446</v>
      </c>
    </row>
    <row r="90" spans="1:4">
      <c r="A90" s="177" t="s">
        <v>225</v>
      </c>
      <c r="B90" s="219" t="str">
        <f t="shared" si="5"/>
        <v>Kursgebühr</v>
      </c>
      <c r="C90" s="220" t="s">
        <v>19</v>
      </c>
      <c r="D90" s="220" t="s">
        <v>447</v>
      </c>
    </row>
    <row r="91" spans="1:4" ht="25.5">
      <c r="A91" s="177" t="s">
        <v>316</v>
      </c>
      <c r="B91" s="219" t="str">
        <f t="shared" si="5"/>
        <v>Abonnemente (monatlich, jährlich)</v>
      </c>
      <c r="C91" s="220" t="s">
        <v>317</v>
      </c>
      <c r="D91" s="220" t="s">
        <v>448</v>
      </c>
    </row>
    <row r="92" spans="1:4">
      <c r="A92" s="177" t="s">
        <v>226</v>
      </c>
      <c r="B92" s="219" t="str">
        <f t="shared" si="5"/>
        <v>Transaktionsbasierte Preise (Preis pro ...) zzgl. ggf. Grundpreis</v>
      </c>
      <c r="C92" s="220" t="s">
        <v>314</v>
      </c>
      <c r="D92" s="220" t="s">
        <v>449</v>
      </c>
    </row>
    <row r="93" spans="1:4" ht="25.5">
      <c r="A93" s="177" t="s">
        <v>315</v>
      </c>
      <c r="B93" s="219" t="str">
        <f t="shared" si="5"/>
        <v>Transaktionsbasierte, aber plafonierte Preise</v>
      </c>
      <c r="C93" s="220" t="s">
        <v>364</v>
      </c>
      <c r="D93" s="220" t="s">
        <v>450</v>
      </c>
    </row>
    <row r="94" spans="1:4">
      <c r="A94" s="177" t="s">
        <v>587</v>
      </c>
      <c r="B94" s="219" t="str">
        <f t="shared" si="5"/>
        <v>Rabatt</v>
      </c>
      <c r="C94" s="220" t="s">
        <v>586</v>
      </c>
      <c r="D94" s="220" t="s">
        <v>624</v>
      </c>
    </row>
    <row r="95" spans="1:4">
      <c r="A95" s="177" t="s">
        <v>224</v>
      </c>
      <c r="B95" s="219" t="str">
        <f t="shared" si="5"/>
        <v>Andere Form der Preisfestsetzung</v>
      </c>
      <c r="C95" s="220" t="s">
        <v>13</v>
      </c>
      <c r="D95" s="220" t="s">
        <v>451</v>
      </c>
    </row>
    <row r="96" spans="1:4" ht="25.5">
      <c r="A96" s="177" t="s">
        <v>228</v>
      </c>
      <c r="B96" s="219" t="str">
        <f t="shared" si="5"/>
        <v>Festpreis: Der im Voraus festgelegte Lieferumfang der Software wird zu einem bei Vertragsabschluss festgelegten Preis entwickelt.</v>
      </c>
      <c r="C96" s="220" t="s">
        <v>233</v>
      </c>
      <c r="D96" s="220" t="s">
        <v>452</v>
      </c>
    </row>
    <row r="97" spans="1:4" ht="51">
      <c r="A97" s="177" t="s">
        <v>229</v>
      </c>
      <c r="B97" s="219" t="str">
        <f t="shared" si="5"/>
        <v xml:space="preserve">Zeithonorare: Der Preis der Software richtet sich nach der tatsächlich geleisteten Arbeitszeit. Die Zeithonorare können sich in Abhängigkeit von Qualifikationsniveau, Funktion und/oder Seniorität der Programmierer unterscheiden. </v>
      </c>
      <c r="C97" s="220" t="s">
        <v>239</v>
      </c>
      <c r="D97" s="220" t="s">
        <v>453</v>
      </c>
    </row>
    <row r="98" spans="1:4" ht="38.25">
      <c r="A98" s="177" t="s">
        <v>238</v>
      </c>
      <c r="B98" s="219" t="str">
        <f t="shared" si="5"/>
        <v>Lizenzgebühr: Wird einmalig erhoben und gilt für die gesamte Nutzungsdauer einer Software oder (in Verbindung mit einer Recurring Fee) auch nur für einen bestimmten Zeitraum.</v>
      </c>
      <c r="C98" s="220" t="s">
        <v>366</v>
      </c>
      <c r="D98" s="220" t="s">
        <v>454</v>
      </c>
    </row>
    <row r="99" spans="1:4" ht="38.25">
      <c r="A99" s="177" t="s">
        <v>365</v>
      </c>
      <c r="B99" s="219" t="str">
        <f t="shared" si="5"/>
        <v xml:space="preserve">Recurring Fee: Prozentuale Gebühr für die Verlängerung der Verwendung einer Softwarelösung; es erfolgen in der Regel keine neuen Programmierungstätigkeiten. </v>
      </c>
      <c r="C99" s="220" t="s">
        <v>367</v>
      </c>
      <c r="D99" s="220" t="s">
        <v>455</v>
      </c>
    </row>
    <row r="100" spans="1:4" ht="25.5">
      <c r="A100" s="177" t="s">
        <v>232</v>
      </c>
      <c r="B100" s="219" t="str">
        <f t="shared" si="5"/>
        <v xml:space="preserve">Kursgebühr: Schulung und Training werden zu festen Gebühren pro Stunde und Kursteilnehmer verrechnet. </v>
      </c>
      <c r="C100" s="220" t="s">
        <v>240</v>
      </c>
      <c r="D100" s="220" t="s">
        <v>456</v>
      </c>
    </row>
    <row r="101" spans="1:4" ht="25.5">
      <c r="A101" s="177" t="s">
        <v>319</v>
      </c>
      <c r="B101" s="219" t="str">
        <f t="shared" si="5"/>
        <v>Abonnemente: Wiederkehrende Leistungen werden im Rahmen eines Abonnements regelmässig verrechnet.</v>
      </c>
      <c r="C101" s="220" t="s">
        <v>318</v>
      </c>
      <c r="D101" s="220" t="s">
        <v>457</v>
      </c>
    </row>
    <row r="102" spans="1:4">
      <c r="A102" s="177" t="s">
        <v>230</v>
      </c>
      <c r="B102" s="219">
        <f t="shared" si="5"/>
        <v>0</v>
      </c>
      <c r="C102" s="220"/>
      <c r="D102" s="220"/>
    </row>
    <row r="103" spans="1:4" ht="25.5">
      <c r="A103" s="177" t="s">
        <v>320</v>
      </c>
      <c r="B103" s="219" t="str">
        <f t="shared" si="5"/>
        <v>Plafonierte Preise: Der Vertrag kennt eine preisliche Obergrenze, auch wenn grundsätzliche nach Volumen abgerechnet wird.</v>
      </c>
      <c r="C103" s="220" t="s">
        <v>321</v>
      </c>
      <c r="D103" s="220" t="s">
        <v>458</v>
      </c>
    </row>
    <row r="104" spans="1:4">
      <c r="A104" s="177" t="s">
        <v>231</v>
      </c>
      <c r="B104" s="219">
        <f t="shared" si="5"/>
        <v>0</v>
      </c>
      <c r="C104" s="220"/>
      <c r="D104" s="220"/>
    </row>
    <row r="105" spans="1:4">
      <c r="A105" s="177" t="s">
        <v>227</v>
      </c>
      <c r="B105" s="219" t="str">
        <f t="shared" si="5"/>
        <v>Kurzbeschrieb der anderen Form der Preisfestsetzung</v>
      </c>
      <c r="C105" s="220" t="s">
        <v>9</v>
      </c>
      <c r="D105" s="220" t="s">
        <v>459</v>
      </c>
    </row>
    <row r="106" spans="1:4">
      <c r="B106" s="219"/>
      <c r="C106" s="220"/>
      <c r="D106" s="220"/>
    </row>
    <row r="107" spans="1:4">
      <c r="A107" s="177" t="s">
        <v>88</v>
      </c>
      <c r="B107" s="219" t="str">
        <f t="shared" ref="B107:B113" si="6">VLOOKUP(A107,A$4:F$371,B$2,FALSE)</f>
        <v>Plan</v>
      </c>
      <c r="C107" s="220" t="s">
        <v>89</v>
      </c>
      <c r="D107" s="220" t="s">
        <v>460</v>
      </c>
    </row>
    <row r="108" spans="1:4" ht="25.5">
      <c r="A108" s="177" t="s">
        <v>90</v>
      </c>
      <c r="B108" s="219" t="str">
        <f t="shared" si="6"/>
        <v>Mitarbeiter des 'Plan'-Bereichs sind zum Beispiel  ICT-Berater, ICT-Architekten, ICT-Qualitätsmanager.</v>
      </c>
      <c r="C108" s="220" t="str">
        <f>"Mitarbeiter des '"&amp;C107&amp;"'-Bereichs sind zum Beispiel  ICT-Berater, ICT-Architekten, ICT-Qualitätsmanager."</f>
        <v>Mitarbeiter des 'Plan'-Bereichs sind zum Beispiel  ICT-Berater, ICT-Architekten, ICT-Qualitätsmanager.</v>
      </c>
      <c r="D108" s="220" t="s">
        <v>461</v>
      </c>
    </row>
    <row r="109" spans="1:4">
      <c r="A109" s="177" t="s">
        <v>91</v>
      </c>
      <c r="B109" s="219" t="str">
        <f t="shared" si="6"/>
        <v>Build</v>
      </c>
      <c r="C109" s="220" t="s">
        <v>92</v>
      </c>
      <c r="D109" s="220" t="s">
        <v>462</v>
      </c>
    </row>
    <row r="110" spans="1:4" ht="38.25">
      <c r="A110" s="177" t="s">
        <v>93</v>
      </c>
      <c r="B110" s="219" t="str">
        <f t="shared" si="6"/>
        <v>Mitarbeiter des 'Build'-Bereichs sind zum Beispiel Applikationsentwickler, Systemingenieure, Wirtschaftsinformatiker.</v>
      </c>
      <c r="C110" s="220" t="str">
        <f>"Mitarbeiter des '"&amp;C109&amp;"'-Bereichs sind zum Beispiel Applikationsentwickler, Systemingenieure, Wirtschaftsinformatiker."</f>
        <v>Mitarbeiter des 'Build'-Bereichs sind zum Beispiel Applikationsentwickler, Systemingenieure, Wirtschaftsinformatiker.</v>
      </c>
      <c r="D110" s="220" t="s">
        <v>463</v>
      </c>
    </row>
    <row r="111" spans="1:4">
      <c r="A111" s="177" t="s">
        <v>94</v>
      </c>
      <c r="B111" s="219" t="str">
        <f t="shared" si="6"/>
        <v>Run</v>
      </c>
      <c r="C111" s="220" t="s">
        <v>95</v>
      </c>
      <c r="D111" s="220" t="s">
        <v>464</v>
      </c>
    </row>
    <row r="112" spans="1:4" ht="63.75">
      <c r="A112" s="177" t="s">
        <v>96</v>
      </c>
      <c r="B112" s="219" t="str">
        <f t="shared" si="6"/>
        <v>Mitarbeiter des 'Run'-Bereichs sind zum Beispiel System-Specialist, Helpdesk-Mitarbeiter, System-Administator, ICT-Supporter, System-Controller, Benutzer-Supporter, ICT-Techniker, ICT-System-Manager.</v>
      </c>
      <c r="C112" s="220" t="str">
        <f>"Mitarbeiter des '"&amp;C111&amp;"'-Bereichs sind zum Beispiel System-Specialist, Helpdesk-Mitarbeiter, System-Administator, ICT-Supporter, System-Controller, Benutzer-Supporter, ICT-Techniker, ICT-System-Manager."</f>
        <v>Mitarbeiter des 'Run'-Bereichs sind zum Beispiel System-Specialist, Helpdesk-Mitarbeiter, System-Administator, ICT-Supporter, System-Controller, Benutzer-Supporter, ICT-Techniker, ICT-System-Manager.</v>
      </c>
      <c r="D112" s="220" t="s">
        <v>465</v>
      </c>
    </row>
    <row r="113" spans="1:4">
      <c r="A113" s="177" t="s">
        <v>97</v>
      </c>
      <c r="B113" s="219" t="str">
        <f t="shared" si="6"/>
        <v>Bereich</v>
      </c>
      <c r="C113" s="220" t="s">
        <v>98</v>
      </c>
      <c r="D113" s="220" t="s">
        <v>466</v>
      </c>
    </row>
    <row r="114" spans="1:4">
      <c r="B114" s="219"/>
      <c r="C114" s="220"/>
      <c r="D114" s="220"/>
    </row>
    <row r="115" spans="1:4">
      <c r="B115" s="219"/>
      <c r="C115" s="220"/>
      <c r="D115" s="220"/>
    </row>
    <row r="116" spans="1:4" ht="25.5">
      <c r="A116" s="177" t="s">
        <v>190</v>
      </c>
      <c r="B116" s="219" t="str">
        <f t="shared" ref="B116:B122" si="7">VLOOKUP(A116,A$4:F$371,B$2,FALSE)</f>
        <v>Wie hoch war der Umsatz des Unternehmens im Jahr 2021 (in CHF, exkl. MWST)?</v>
      </c>
      <c r="C116" s="220" t="str">
        <f>"Wie hoch war der Umsatz des Unternehmens im Jahr "&amp;C2-1&amp;" (in CHF, exkl. MWST)?"</f>
        <v>Wie hoch war der Umsatz des Unternehmens im Jahr 2021 (in CHF, exkl. MWST)?</v>
      </c>
      <c r="D116" s="220" t="str">
        <f>"A combien se montait le chiffre d'affaires de l'entreprise en "&amp;C2-1&amp;" (en CHF, hors TVA)?"</f>
        <v>A combien se montait le chiffre d'affaires de l'entreprise en 2021 (en CHF, hors TVA)?</v>
      </c>
    </row>
    <row r="117" spans="1:4" ht="25.5">
      <c r="A117" s="177" t="s">
        <v>191</v>
      </c>
      <c r="B117" s="219" t="str">
        <f t="shared" si="7"/>
        <v>Bitte geben Sie nur den Umsatz der Dienstleistungen an, bei denen ein substanzieller Anteil der Wertschöpfung in der Schweiz erfolgte</v>
      </c>
      <c r="C117" s="220" t="s">
        <v>11</v>
      </c>
      <c r="D117" s="220" t="s">
        <v>467</v>
      </c>
    </row>
    <row r="118" spans="1:4">
      <c r="A118" s="177" t="s">
        <v>192</v>
      </c>
      <c r="B118" s="219" t="str">
        <f t="shared" si="7"/>
        <v>Umsatzanteil</v>
      </c>
      <c r="C118" s="220" t="s">
        <v>672</v>
      </c>
      <c r="D118" s="220" t="s">
        <v>673</v>
      </c>
    </row>
    <row r="119" spans="1:4">
      <c r="A119" s="177" t="s">
        <v>172</v>
      </c>
      <c r="B119" s="219" t="str">
        <f t="shared" si="7"/>
        <v xml:space="preserve">Wie kann der Umsatz mit </v>
      </c>
      <c r="C119" s="220" t="s">
        <v>173</v>
      </c>
      <c r="D119" s="220" t="s">
        <v>557</v>
      </c>
    </row>
    <row r="120" spans="1:4" ht="25.5">
      <c r="A120" s="177" t="s">
        <v>171</v>
      </c>
      <c r="B120" s="219" t="str">
        <f t="shared" si="7"/>
        <v>im Jahr 2021 aufgeteilt werden und welcher Anteil der Dienstleistung wird ins Ausland exportiert?</v>
      </c>
      <c r="C120" s="220" t="str">
        <f>"im Jahr "&amp;C2-1&amp;" aufgeteilt werden und welcher Anteil der Dienstleistung wird ins Ausland exportiert?"</f>
        <v>im Jahr 2021 aufgeteilt werden und welcher Anteil der Dienstleistung wird ins Ausland exportiert?</v>
      </c>
      <c r="D120" s="220" t="str">
        <f>"dans l'année "&amp;C2-1&amp;", et quelle part des prestations est exportée à l'étranger?"</f>
        <v>dans l'année 2021, et quelle part des prestations est exportée à l'étranger?</v>
      </c>
    </row>
    <row r="121" spans="1:4" ht="25.5">
      <c r="A121" s="177" t="s">
        <v>195</v>
      </c>
      <c r="B121" s="219" t="str">
        <f t="shared" si="7"/>
        <v>Umsatzanteil am Geschäftsfeld</v>
      </c>
      <c r="C121" s="220" t="s">
        <v>668</v>
      </c>
      <c r="D121" s="220" t="s">
        <v>669</v>
      </c>
    </row>
    <row r="122" spans="1:4">
      <c r="A122" s="177" t="s">
        <v>193</v>
      </c>
      <c r="B122" s="219" t="str">
        <f t="shared" si="7"/>
        <v>Exportanteil im Dienstleistungstyp</v>
      </c>
      <c r="C122" s="220" t="s">
        <v>670</v>
      </c>
      <c r="D122" s="220" t="s">
        <v>671</v>
      </c>
    </row>
    <row r="123" spans="1:4">
      <c r="C123" s="220"/>
      <c r="D123" s="220"/>
    </row>
    <row r="124" spans="1:4" ht="38.25">
      <c r="A124" s="220" t="s">
        <v>559</v>
      </c>
      <c r="B124" s="219" t="str">
        <f t="shared" ref="B124:B136" si="8">VLOOKUP(A124,A$4:F$371,B$2,FALSE)</f>
        <v>Der Kundenidentifikator (Auftragsnummer, Kundennummer etc.) dient Ihnen ausschliesslich zur Identifizierung des Auftrags im Folgejahr. Sie können aus Sicherheitsgründen diese Nummer anonymisieren.</v>
      </c>
      <c r="C124" s="220" t="s">
        <v>715</v>
      </c>
      <c r="D124" s="220" t="s">
        <v>625</v>
      </c>
    </row>
    <row r="125" spans="1:4">
      <c r="A125" s="220" t="s">
        <v>560</v>
      </c>
      <c r="B125" s="219" t="str">
        <f t="shared" si="8"/>
        <v>Bitte geben Sie den Preis bei Vertragsabschluss an.</v>
      </c>
      <c r="C125" s="220" t="s">
        <v>561</v>
      </c>
      <c r="D125" s="220" t="s">
        <v>626</v>
      </c>
    </row>
    <row r="126" spans="1:4" ht="25.5">
      <c r="A126" s="177" t="s">
        <v>99</v>
      </c>
      <c r="B126" s="219" t="str">
        <f t="shared" si="8"/>
        <v>Wie hoch war der verrechnete Stundenansatz in Abhängigkeit der Qualifikationsstufen Ihrer Mitarbeiter?</v>
      </c>
      <c r="C126" s="220" t="s">
        <v>8</v>
      </c>
      <c r="D126" s="220" t="s">
        <v>468</v>
      </c>
    </row>
    <row r="127" spans="1:4" ht="25.5">
      <c r="A127" s="177" t="s">
        <v>100</v>
      </c>
      <c r="B127" s="219" t="str">
        <f t="shared" si="8"/>
        <v xml:space="preserve">Mit welchem Zeitanteil wurden die jeweiligen Qualifikationsstufen für die Leistungserstellung eingesetzt?  </v>
      </c>
      <c r="C127" s="222" t="s">
        <v>408</v>
      </c>
      <c r="D127" s="222" t="s">
        <v>469</v>
      </c>
    </row>
    <row r="128" spans="1:4">
      <c r="A128" s="177" t="s">
        <v>101</v>
      </c>
      <c r="B128" s="219" t="str">
        <f t="shared" si="8"/>
        <v>Zu welchem Preis bieten Sie die von Ihnen beschriebene Software an?</v>
      </c>
      <c r="C128" s="220" t="s">
        <v>102</v>
      </c>
      <c r="D128" s="220" t="s">
        <v>470</v>
      </c>
    </row>
    <row r="129" spans="1:4" ht="38.25">
      <c r="A129" s="177" t="s">
        <v>103</v>
      </c>
      <c r="B129" s="219" t="str">
        <f t="shared" si="8"/>
        <v>Bitte beschreiben Sie eine bis drei für ihr Unternehmen zentrale Softwarelösungen, die Sie auf Kundenwunsch erstellt haben (inkl. Kundenauftragsidentifikator, z.B. Auftragsnummer)</v>
      </c>
      <c r="C129" s="222" t="s">
        <v>579</v>
      </c>
      <c r="D129" s="222" t="s">
        <v>627</v>
      </c>
    </row>
    <row r="130" spans="1:4">
      <c r="A130" s="177" t="s">
        <v>104</v>
      </c>
      <c r="B130" s="219" t="str">
        <f t="shared" si="8"/>
        <v>Wahl der Software:</v>
      </c>
      <c r="C130" s="220" t="s">
        <v>105</v>
      </c>
      <c r="D130" s="220" t="s">
        <v>471</v>
      </c>
    </row>
    <row r="131" spans="1:4" ht="51">
      <c r="A131" s="177" t="s">
        <v>106</v>
      </c>
      <c r="B131" s="219" t="str">
        <f t="shared" si="8"/>
        <v>Die ausgewählte Software sollte möglichst repräsentativ für Ihre aktuellen und auch zukünftigen Programmierungstätigkeiten sein. Insbesondere werden übliche (d.h. immer wiederkehrende) grössere Aufträge einem einmaligen Grossauftrag vorgezogen.</v>
      </c>
      <c r="C131" s="220" t="s">
        <v>107</v>
      </c>
      <c r="D131" s="220" t="s">
        <v>472</v>
      </c>
    </row>
    <row r="132" spans="1:4">
      <c r="A132" s="177" t="s">
        <v>323</v>
      </c>
      <c r="B132" s="219" t="str">
        <f t="shared" si="8"/>
        <v>Zu welchem Preis bieten Sie die von Ihnen beschriebene Dienstleistung an?</v>
      </c>
      <c r="C132" s="220" t="s">
        <v>322</v>
      </c>
      <c r="D132" s="220" t="s">
        <v>473</v>
      </c>
    </row>
    <row r="133" spans="1:4" ht="38.25">
      <c r="A133" s="177" t="s">
        <v>333</v>
      </c>
      <c r="B133" s="219" t="str">
        <f t="shared" si="8"/>
        <v>Beschreiben Sie eine bis drei Dienstleistungen an einen zentralen Schweizer Geschäftskunden (inkl. Kundenauftragsidentifikator, z.B. Auftragsnummer)</v>
      </c>
      <c r="C133" s="220" t="s">
        <v>563</v>
      </c>
      <c r="D133" s="220" t="s">
        <v>474</v>
      </c>
    </row>
    <row r="134" spans="1:4" ht="38.25">
      <c r="A134" s="177" t="s">
        <v>334</v>
      </c>
      <c r="B134" s="219" t="str">
        <f t="shared" si="8"/>
        <v>Beschreiben Sie eine bis drei Dienstleistungen an einen zentralen ausländischen Geschäftskunden (inkl. Kundenauftragsidentifikator, z.B. Auftragsnummer)</v>
      </c>
      <c r="C134" s="220" t="s">
        <v>564</v>
      </c>
      <c r="D134" s="220" t="s">
        <v>475</v>
      </c>
    </row>
    <row r="135" spans="1:4" ht="38.25">
      <c r="A135" s="177" t="s">
        <v>329</v>
      </c>
      <c r="B135" s="219" t="str">
        <f t="shared" si="8"/>
        <v>Beispiel: Unterhalts- und Supportvertrag für ein Reisereservationssystem für Kunden X (Kundennummer: xxxx) mit 50 Benutzern, Vereinbarter Jahrespreis</v>
      </c>
      <c r="C135" s="220" t="s">
        <v>331</v>
      </c>
      <c r="D135" s="220" t="s">
        <v>476</v>
      </c>
    </row>
    <row r="136" spans="1:4" ht="51">
      <c r="A136" s="177" t="s">
        <v>330</v>
      </c>
      <c r="B136" s="219" t="str">
        <f t="shared" si="8"/>
        <v>Beispiel: Mantelvertrag mit Grosskunde Y mit SLA. 4 Std. Reaktionszeit und 4 Std. für Reparatur/Ersatz von Server und Drucker, 8 Std. für Reparatur/den Ersatz eines Arbeitsplatzrechners (Auftragsnummer: xxx)</v>
      </c>
      <c r="C136" s="220" t="s">
        <v>332</v>
      </c>
      <c r="D136" s="220" t="s">
        <v>477</v>
      </c>
    </row>
    <row r="137" spans="1:4">
      <c r="B137" s="219"/>
      <c r="C137" s="220"/>
      <c r="D137" s="220"/>
    </row>
    <row r="138" spans="1:4">
      <c r="A138" s="177" t="s">
        <v>161</v>
      </c>
      <c r="B138" s="219" t="str">
        <f t="shared" ref="B138:B155" si="9">VLOOKUP(A138,A$4:F$371,B$2,FALSE)</f>
        <v>Beispiel</v>
      </c>
      <c r="C138" s="220" t="s">
        <v>162</v>
      </c>
      <c r="D138" s="220" t="s">
        <v>478</v>
      </c>
    </row>
    <row r="139" spans="1:4">
      <c r="A139" s="177" t="s">
        <v>164</v>
      </c>
      <c r="B139" s="219" t="str">
        <f t="shared" si="9"/>
        <v>Projektleiter</v>
      </c>
      <c r="C139" s="220" t="s">
        <v>163</v>
      </c>
      <c r="D139" s="220" t="s">
        <v>479</v>
      </c>
    </row>
    <row r="140" spans="1:4">
      <c r="A140" s="177" t="s">
        <v>108</v>
      </c>
      <c r="B140" s="219" t="str">
        <f t="shared" si="9"/>
        <v>Definieren Sie je 3 bis 5 repräsentative Qualifikationsstufen:</v>
      </c>
      <c r="C140" s="220" t="s">
        <v>158</v>
      </c>
      <c r="D140" s="220" t="s">
        <v>480</v>
      </c>
    </row>
    <row r="141" spans="1:4">
      <c r="A141" s="177" t="s">
        <v>109</v>
      </c>
      <c r="B141" s="219" t="str">
        <f t="shared" si="9"/>
        <v>Beispiele für Qualifikationsstufen</v>
      </c>
      <c r="C141" s="220" t="s">
        <v>110</v>
      </c>
      <c r="D141" s="220" t="s">
        <v>481</v>
      </c>
    </row>
    <row r="142" spans="1:4">
      <c r="A142" s="177" t="s">
        <v>111</v>
      </c>
      <c r="B142" s="219" t="str">
        <f t="shared" si="9"/>
        <v>z.B. Junior (Erste IT-Kenntnisse)</v>
      </c>
      <c r="C142" s="220" t="s">
        <v>662</v>
      </c>
      <c r="D142" s="220" t="s">
        <v>665</v>
      </c>
    </row>
    <row r="143" spans="1:4">
      <c r="A143" s="177" t="s">
        <v>112</v>
      </c>
      <c r="B143" s="219" t="str">
        <f t="shared" si="9"/>
        <v>z.B. Professional (3 oder mehr Jahre Berufserfahrung)</v>
      </c>
      <c r="C143" s="220" t="s">
        <v>663</v>
      </c>
      <c r="D143" s="220" t="s">
        <v>666</v>
      </c>
    </row>
    <row r="144" spans="1:4">
      <c r="A144" s="177" t="s">
        <v>113</v>
      </c>
      <c r="B144" s="219" t="str">
        <f t="shared" si="9"/>
        <v>z.B. Senior (5 oder mehr Jahre Berufserfahrung)</v>
      </c>
      <c r="C144" s="220" t="s">
        <v>664</v>
      </c>
      <c r="D144" s="220" t="s">
        <v>667</v>
      </c>
    </row>
    <row r="145" spans="1:4">
      <c r="A145" s="177" t="s">
        <v>114</v>
      </c>
      <c r="B145" s="219" t="str">
        <f t="shared" si="9"/>
        <v>Stundenansätze</v>
      </c>
      <c r="C145" s="220" t="s">
        <v>115</v>
      </c>
      <c r="D145" s="220" t="s">
        <v>482</v>
      </c>
    </row>
    <row r="146" spans="1:4" ht="38.25">
      <c r="A146" s="177" t="s">
        <v>116</v>
      </c>
      <c r="B146" s="219" t="str">
        <f t="shared" si="9"/>
        <v>Die ausgewiesenen Preise sollen den durchschnittlichen (über alle Kunden) effektiv verrechneten Stundenansätzen entsprechen (Rabatte sind separat auszuweisen).</v>
      </c>
      <c r="C146" s="220" t="s">
        <v>585</v>
      </c>
      <c r="D146" s="220" t="s">
        <v>628</v>
      </c>
    </row>
    <row r="147" spans="1:4" ht="25.5">
      <c r="A147" s="177" t="s">
        <v>248</v>
      </c>
      <c r="B147" s="219" t="str">
        <f t="shared" si="9"/>
        <v xml:space="preserve">Bitte beschreiben Sie kurz die zentrale Standardsoftware, für deren Nutzung Sie eine Lizenzgebühr von Ihren Kunden verlangen. </v>
      </c>
      <c r="C147" s="220" t="s">
        <v>250</v>
      </c>
      <c r="D147" s="220" t="s">
        <v>483</v>
      </c>
    </row>
    <row r="148" spans="1:4" ht="25.5">
      <c r="A148" s="177" t="s">
        <v>249</v>
      </c>
      <c r="B148" s="219" t="str">
        <f t="shared" si="9"/>
        <v>Definieren Sie dabei bitte auch den Umfang des Produktes (bspw. Basispaket vs. Komplettpaket, Vollversion vs. Studentenversion etc.)</v>
      </c>
      <c r="C148" s="220" t="s">
        <v>33</v>
      </c>
      <c r="D148" s="220" t="s">
        <v>484</v>
      </c>
    </row>
    <row r="149" spans="1:4">
      <c r="A149" s="177" t="s">
        <v>255</v>
      </c>
      <c r="B149" s="219" t="str">
        <f t="shared" si="9"/>
        <v>Durchschnittliche Lizenzgebühr bei einem Ersterwerb</v>
      </c>
      <c r="C149" s="220" t="s">
        <v>252</v>
      </c>
      <c r="D149" s="220" t="s">
        <v>485</v>
      </c>
    </row>
    <row r="150" spans="1:4" ht="25.5">
      <c r="A150" s="177" t="s">
        <v>256</v>
      </c>
      <c r="B150" s="219" t="str">
        <f t="shared" si="9"/>
        <v>Recurring Fee (prozentualer Anteil im Vergleich zu dem  Ersterwerb der Software)</v>
      </c>
      <c r="C150" s="220" t="s">
        <v>251</v>
      </c>
      <c r="D150" s="220" t="s">
        <v>486</v>
      </c>
    </row>
    <row r="151" spans="1:4" ht="25.5">
      <c r="A151" s="177" t="s">
        <v>257</v>
      </c>
      <c r="B151" s="219" t="str">
        <f t="shared" si="9"/>
        <v>Haben sich die Merkmale der Standardsoftware gegenüber dem letzten Jahr (Stand: März 2021) verändert?</v>
      </c>
      <c r="C151" s="220" t="str">
        <f>"Haben sich die Merkmale der Standardsoftware gegenüber dem letzten Jahr (Stand: März "&amp;C2-1&amp;") verändert?"</f>
        <v>Haben sich die Merkmale der Standardsoftware gegenüber dem letzten Jahr (Stand: März 2021) verändert?</v>
      </c>
      <c r="D151" s="220" t="str">
        <f>"Les caractéristiques du logiciel standard se sont-elles modifiées par rapport à l'année précédente (en mars "&amp;C2-1&amp;")?"</f>
        <v>Les caractéristiques du logiciel standard se sont-elles modifiées par rapport à l'année précédente (en mars 2021)?</v>
      </c>
    </row>
    <row r="152" spans="1:4" ht="25.5">
      <c r="A152" s="177" t="s">
        <v>258</v>
      </c>
      <c r="B152" s="219" t="str">
        <f t="shared" si="9"/>
        <v>Falls ja, tragen Sie bitte den Preis ein, den Sie für eine Lizenz der aktuellen Software im Vorjahr verlangt hätten.</v>
      </c>
      <c r="C152" s="220" t="s">
        <v>558</v>
      </c>
      <c r="D152" s="220" t="s">
        <v>562</v>
      </c>
    </row>
    <row r="153" spans="1:4" ht="38.25">
      <c r="A153" s="177" t="s">
        <v>259</v>
      </c>
      <c r="B153" s="219" t="str">
        <f t="shared" si="9"/>
        <v xml:space="preserve">Gab es Preisänderungen ohne Änderungen im Leistungsumfang? Falls ja, bitte kurz begründen (Tarifänderungen, Marktlage etc.) </v>
      </c>
      <c r="C153" s="220" t="s">
        <v>15</v>
      </c>
      <c r="D153" s="220" t="s">
        <v>487</v>
      </c>
    </row>
    <row r="154" spans="1:4" ht="51">
      <c r="A154" s="177" t="s">
        <v>260</v>
      </c>
      <c r="B154" s="219" t="str">
        <f t="shared" si="9"/>
        <v xml:space="preserve">Die durchschnittliche Lizenzgebühr errechnet sich aus den gesamten Erlösen aus der Lizenzgebühr der beschriebenen Software geteilt durch die Anzahl verkaufter Lizenzen. Dieser Wert unterscheidet sich vom Listenpreis insbesondere auch dann, wenn teilweise Rabatte gewährt werden. </v>
      </c>
      <c r="C154" s="220" t="s">
        <v>409</v>
      </c>
      <c r="D154" s="220" t="s">
        <v>488</v>
      </c>
    </row>
    <row r="155" spans="1:4" ht="38.25">
      <c r="A155" s="177" t="s">
        <v>165</v>
      </c>
      <c r="B155" s="219" t="str">
        <f t="shared" si="9"/>
        <v xml:space="preserve">Die Zeitanteile der angegebenen Qualifikationsstufen müssen sich zu 100% addieren. Gegebenenfalls nicht genannte Qualifikationsstufen sind bei den Zeitanteilen also nicht zu berücksichtigen.  </v>
      </c>
      <c r="C155" s="220" t="s">
        <v>170</v>
      </c>
      <c r="D155" s="220" t="s">
        <v>489</v>
      </c>
    </row>
    <row r="156" spans="1:4">
      <c r="C156" s="220"/>
      <c r="D156" s="220"/>
    </row>
    <row r="157" spans="1:4">
      <c r="A157" s="177" t="s">
        <v>117</v>
      </c>
      <c r="B157" s="219" t="str">
        <f t="shared" ref="B157:B173" si="10">VLOOKUP(A157,A$4:F$371,B$2,FALSE)</f>
        <v>Kunde in der Schweiz</v>
      </c>
      <c r="C157" s="220" t="s">
        <v>118</v>
      </c>
      <c r="D157" s="220" t="s">
        <v>490</v>
      </c>
    </row>
    <row r="158" spans="1:4">
      <c r="A158" s="177" t="s">
        <v>119</v>
      </c>
      <c r="B158" s="219" t="str">
        <f t="shared" si="10"/>
        <v>Kunde im Ausland</v>
      </c>
      <c r="C158" s="220" t="s">
        <v>120</v>
      </c>
      <c r="D158" s="220" t="s">
        <v>491</v>
      </c>
    </row>
    <row r="159" spans="1:4" ht="25.5">
      <c r="A159" s="177" t="s">
        <v>121</v>
      </c>
      <c r="B159" s="219" t="str">
        <f t="shared" si="10"/>
        <v>Defintion "Kunde in der Schweiz": Adresse des Leistungsbezügers im Inland.</v>
      </c>
      <c r="C159" s="220" t="s">
        <v>166</v>
      </c>
      <c r="D159" s="220" t="s">
        <v>492</v>
      </c>
    </row>
    <row r="160" spans="1:4" ht="25.5">
      <c r="A160" s="177" t="s">
        <v>122</v>
      </c>
      <c r="B160" s="219" t="str">
        <f t="shared" si="10"/>
        <v>Definition "Kunde im Ausland": Adresse des Leistungsbezügers im Ausland.</v>
      </c>
      <c r="C160" s="220" t="s">
        <v>167</v>
      </c>
      <c r="D160" s="220" t="s">
        <v>493</v>
      </c>
    </row>
    <row r="161" spans="1:4">
      <c r="A161" s="177" t="s">
        <v>123</v>
      </c>
      <c r="B161" s="219" t="str">
        <f t="shared" si="10"/>
        <v>Währung</v>
      </c>
      <c r="C161" s="220" t="s">
        <v>124</v>
      </c>
      <c r="D161" s="220" t="s">
        <v>494</v>
      </c>
    </row>
    <row r="162" spans="1:4">
      <c r="A162" s="177" t="s">
        <v>326</v>
      </c>
      <c r="B162" s="219" t="str">
        <f t="shared" si="10"/>
        <v>EUR</v>
      </c>
      <c r="C162" s="220" t="s">
        <v>328</v>
      </c>
      <c r="D162" s="220" t="s">
        <v>328</v>
      </c>
    </row>
    <row r="163" spans="1:4">
      <c r="A163" s="177" t="s">
        <v>327</v>
      </c>
      <c r="B163" s="219" t="str">
        <f t="shared" si="10"/>
        <v>USD</v>
      </c>
      <c r="C163" s="220" t="s">
        <v>160</v>
      </c>
      <c r="D163" s="220" t="s">
        <v>160</v>
      </c>
    </row>
    <row r="164" spans="1:4">
      <c r="A164" s="177" t="s">
        <v>325</v>
      </c>
      <c r="B164" s="219" t="str">
        <f t="shared" si="10"/>
        <v>CHF</v>
      </c>
      <c r="C164" s="220" t="s">
        <v>159</v>
      </c>
      <c r="D164" s="220" t="s">
        <v>159</v>
      </c>
    </row>
    <row r="165" spans="1:4">
      <c r="A165" s="177" t="s">
        <v>125</v>
      </c>
      <c r="B165" s="219" t="str">
        <f t="shared" si="10"/>
        <v>Währung: Beispielsweise in Euro (EUR), US-Dollar (USD) oder auch in CHF.</v>
      </c>
      <c r="C165" s="220" t="s">
        <v>362</v>
      </c>
      <c r="D165" s="220" t="s">
        <v>495</v>
      </c>
    </row>
    <row r="166" spans="1:4">
      <c r="A166" s="177" t="s">
        <v>126</v>
      </c>
      <c r="B166" s="219" t="str">
        <f t="shared" si="10"/>
        <v>Preis</v>
      </c>
      <c r="C166" s="220" t="s">
        <v>127</v>
      </c>
      <c r="D166" s="220" t="s">
        <v>496</v>
      </c>
    </row>
    <row r="167" spans="1:4">
      <c r="A167" s="177" t="s">
        <v>128</v>
      </c>
      <c r="B167" s="219" t="str">
        <f t="shared" si="10"/>
        <v>Honorar/h</v>
      </c>
      <c r="C167" s="220" t="s">
        <v>129</v>
      </c>
      <c r="D167" s="220" t="s">
        <v>497</v>
      </c>
    </row>
    <row r="168" spans="1:4">
      <c r="A168" s="177" t="s">
        <v>130</v>
      </c>
      <c r="B168" s="219" t="str">
        <f t="shared" si="10"/>
        <v>Zeitanteil</v>
      </c>
      <c r="C168" s="220" t="s">
        <v>131</v>
      </c>
      <c r="D168" s="220" t="s">
        <v>498</v>
      </c>
    </row>
    <row r="169" spans="1:4">
      <c r="A169" s="177" t="s">
        <v>241</v>
      </c>
      <c r="B169" s="219" t="str">
        <f t="shared" si="10"/>
        <v>Die Preise sind ohne Mehrwertsteuer anzugeben.</v>
      </c>
      <c r="C169" s="220" t="s">
        <v>242</v>
      </c>
      <c r="D169" s="220" t="s">
        <v>556</v>
      </c>
    </row>
    <row r="170" spans="1:4" ht="25.5">
      <c r="A170" s="177" t="s">
        <v>324</v>
      </c>
      <c r="B170" s="219" t="str">
        <f t="shared" si="10"/>
        <v>Bitte geben Sie an, zu welchem Preis Sie die identische Dienstleistung dem gleichen Kunden im Vorjahr (im März 2021) angeboten haben/hätten?</v>
      </c>
      <c r="C170" s="220" t="str">
        <f>"Bitte geben Sie an, zu welchem Preis Sie die identische Dienstleistung dem gleichen Kunden im Vorjahr (im März "&amp;C2-1&amp;") angeboten haben/hätten?"</f>
        <v>Bitte geben Sie an, zu welchem Preis Sie die identische Dienstleistung dem gleichen Kunden im Vorjahr (im März 2021) angeboten haben/hätten?</v>
      </c>
      <c r="D170" s="220" t="str">
        <f>"Indiquez à quel prix vous avez/auriez offert une prestation identique au même client l'année précédente (en mars "&amp;C2-1&amp;")?"</f>
        <v>Indiquez à quel prix vous avez/auriez offert une prestation identique au même client l'année précédente (en mars 2021)?</v>
      </c>
    </row>
    <row r="171" spans="1:4">
      <c r="A171" s="177" t="s">
        <v>132</v>
      </c>
      <c r="B171" s="219" t="str">
        <f t="shared" si="10"/>
        <v>%</v>
      </c>
      <c r="C171" s="220" t="s">
        <v>133</v>
      </c>
      <c r="D171" s="220" t="s">
        <v>133</v>
      </c>
    </row>
    <row r="172" spans="1:4">
      <c r="A172" s="177" t="s">
        <v>134</v>
      </c>
      <c r="B172" s="219" t="str">
        <f t="shared" si="10"/>
        <v>Anzahl</v>
      </c>
      <c r="C172" s="220" t="s">
        <v>135</v>
      </c>
      <c r="D172" s="220" t="s">
        <v>499</v>
      </c>
    </row>
    <row r="173" spans="1:4">
      <c r="A173" s="177" t="s">
        <v>136</v>
      </c>
      <c r="B173" s="219" t="str">
        <f t="shared" si="10"/>
        <v>Bemerkungen</v>
      </c>
      <c r="C173" s="220" t="s">
        <v>261</v>
      </c>
      <c r="D173" s="220" t="s">
        <v>500</v>
      </c>
    </row>
    <row r="174" spans="1:4">
      <c r="C174" s="220"/>
      <c r="D174" s="220"/>
    </row>
    <row r="175" spans="1:4">
      <c r="A175" s="177" t="s">
        <v>137</v>
      </c>
      <c r="B175" s="219" t="str">
        <f>VLOOKUP(A175,A$4:F$371,B$2,FALSE)</f>
        <v>Eidg. Departement des Innern</v>
      </c>
      <c r="C175" s="220" t="s">
        <v>138</v>
      </c>
      <c r="D175" s="220" t="s">
        <v>501</v>
      </c>
    </row>
    <row r="176" spans="1:4">
      <c r="A176" s="177" t="s">
        <v>139</v>
      </c>
      <c r="B176" s="219" t="str">
        <f>VLOOKUP(A176,A$4:F$371,B$2,FALSE)</f>
        <v>Bundesamt für Statistik BFS</v>
      </c>
      <c r="C176" s="220" t="s">
        <v>6</v>
      </c>
      <c r="D176" s="220" t="s">
        <v>502</v>
      </c>
    </row>
    <row r="177" spans="1:5">
      <c r="A177" s="177" t="s">
        <v>140</v>
      </c>
      <c r="B177" s="219" t="str">
        <f>VLOOKUP(A177,A$4:F$371,B$2,FALSE)</f>
        <v>Abt. Wirtschaft, Sektion PREIS</v>
      </c>
      <c r="C177" s="220" t="s">
        <v>141</v>
      </c>
      <c r="D177" s="220" t="s">
        <v>503</v>
      </c>
    </row>
    <row r="178" spans="1:5">
      <c r="B178" s="219"/>
      <c r="C178" s="220"/>
      <c r="D178" s="220"/>
    </row>
    <row r="179" spans="1:5">
      <c r="C179" s="220"/>
      <c r="D179" s="220"/>
    </row>
    <row r="180" spans="1:5">
      <c r="C180" s="220"/>
      <c r="D180" s="220"/>
    </row>
    <row r="181" spans="1:5" ht="25.5">
      <c r="A181" s="177" t="s">
        <v>142</v>
      </c>
      <c r="B181" s="219" t="str">
        <f t="shared" ref="B181:B188" si="11">VLOOKUP(A181,A$4:F$371,B$2,FALSE)</f>
        <v>Wie hoch war die den Kunden in Rechnung gestellte durchschnittliche Kursgebühr pro Stunde und Teilnehmer?</v>
      </c>
      <c r="C181" s="220" t="s">
        <v>20</v>
      </c>
      <c r="D181" s="220" t="s">
        <v>504</v>
      </c>
    </row>
    <row r="182" spans="1:5">
      <c r="A182" s="177" t="s">
        <v>143</v>
      </c>
      <c r="B182" s="219" t="str">
        <f t="shared" si="11"/>
        <v>Wie gut waren die Kurse im Durchschnitt besucht?</v>
      </c>
      <c r="C182" s="220" t="s">
        <v>144</v>
      </c>
      <c r="D182" s="220" t="s">
        <v>505</v>
      </c>
    </row>
    <row r="183" spans="1:5">
      <c r="A183" s="177" t="s">
        <v>145</v>
      </c>
      <c r="B183" s="219" t="str">
        <f t="shared" si="11"/>
        <v xml:space="preserve">Durchschnittliche Kursgebühr pro Kursstunde und Teilnehmer </v>
      </c>
      <c r="C183" s="220" t="s">
        <v>146</v>
      </c>
      <c r="D183" s="220" t="s">
        <v>506</v>
      </c>
    </row>
    <row r="184" spans="1:5">
      <c r="A184" s="177" t="s">
        <v>147</v>
      </c>
      <c r="B184" s="219" t="str">
        <f t="shared" si="11"/>
        <v>Durchschnittliche Anzahl Teilnehmer pro Kurs</v>
      </c>
      <c r="C184" s="220" t="s">
        <v>148</v>
      </c>
      <c r="D184" s="220" t="s">
        <v>507</v>
      </c>
    </row>
    <row r="185" spans="1:5" ht="38.25">
      <c r="A185" s="177" t="s">
        <v>149</v>
      </c>
      <c r="B185" s="219" t="str">
        <f t="shared" si="11"/>
        <v>Sollten Sie für Grosskunden Rabatte gewähren, so sind diese in Abzug zu bringen. Die ausgewiesenen Preise sollten also den durchschnittlichen über alle Kursteilnehmer effektiv verrechneten Gebühren entsprechen.</v>
      </c>
      <c r="C185" s="220" t="s">
        <v>410</v>
      </c>
      <c r="D185" s="220" t="s">
        <v>508</v>
      </c>
    </row>
    <row r="186" spans="1:5" ht="25.5">
      <c r="A186" s="177" t="s">
        <v>150</v>
      </c>
      <c r="B186" s="219" t="str">
        <f t="shared" si="11"/>
        <v>Zu welchem Preis würden Sie den von Ihnen beschriebenen typischen Installationsauftrag anbieten?</v>
      </c>
      <c r="C186" s="220" t="s">
        <v>151</v>
      </c>
      <c r="D186" s="220" t="s">
        <v>709</v>
      </c>
      <c r="E186" s="177"/>
    </row>
    <row r="187" spans="1:5">
      <c r="A187" s="177" t="s">
        <v>152</v>
      </c>
      <c r="B187" s="219" t="str">
        <f t="shared" si="11"/>
        <v>Beschreiben Sie einen typischen Installationsauftrag</v>
      </c>
      <c r="C187" s="220" t="s">
        <v>267</v>
      </c>
      <c r="D187" s="220" t="s">
        <v>509</v>
      </c>
    </row>
    <row r="188" spans="1:5" ht="25.5">
      <c r="A188" s="177" t="s">
        <v>153</v>
      </c>
      <c r="B188" s="219" t="str">
        <f t="shared" si="11"/>
        <v>Beispiel: Einrichten von X Einzelarbeitsplätzen mit dem Softwarebundle vor Ort.</v>
      </c>
      <c r="C188" s="220" t="s">
        <v>368</v>
      </c>
      <c r="D188" s="220" t="s">
        <v>510</v>
      </c>
    </row>
    <row r="189" spans="1:5">
      <c r="C189" s="220"/>
      <c r="D189" s="220"/>
    </row>
    <row r="190" spans="1:5" ht="25.5">
      <c r="A190" s="177" t="s">
        <v>359</v>
      </c>
      <c r="B190" s="219" t="str">
        <f t="shared" ref="B190:B213" si="12">VLOOKUP(A190,A$4:F$371,B$2,FALSE)</f>
        <v>Wie hoch war der Unit-Nettopreis im unten genannten Vertrag?</v>
      </c>
      <c r="C190" s="220" t="s">
        <v>361</v>
      </c>
      <c r="D190" s="220" t="s">
        <v>511</v>
      </c>
    </row>
    <row r="191" spans="1:5" ht="25.5">
      <c r="A191" s="177" t="s">
        <v>360</v>
      </c>
      <c r="B191" s="219" t="str">
        <f t="shared" si="12"/>
        <v>Zu welchem Unit-Nettopreis würden Sie die von Ihnen unten beschriebene Dienstleistung anbieten?</v>
      </c>
      <c r="C191" s="220" t="s">
        <v>363</v>
      </c>
      <c r="D191" s="220" t="s">
        <v>710</v>
      </c>
    </row>
    <row r="192" spans="1:5" ht="25.5">
      <c r="A192" s="177" t="s">
        <v>358</v>
      </c>
      <c r="B192" s="219" t="str">
        <f t="shared" si="12"/>
        <v>Unit-Nettopreis: (Pauschale + Unit-Preis * effektiv bezogene Leistung - allfällige Rabatte) / effektiv bezogene Leistung.</v>
      </c>
      <c r="C192" s="220" t="s">
        <v>681</v>
      </c>
      <c r="D192" s="220" t="s">
        <v>708</v>
      </c>
    </row>
    <row r="193" spans="1:4">
      <c r="A193" s="177" t="s">
        <v>154</v>
      </c>
      <c r="B193" s="219" t="str">
        <f t="shared" si="12"/>
        <v>Bitte geben Sie die skalierbare Einheit an:</v>
      </c>
      <c r="C193" s="220" t="s">
        <v>17</v>
      </c>
      <c r="D193" s="220" t="s">
        <v>512</v>
      </c>
    </row>
    <row r="194" spans="1:4">
      <c r="A194" s="177" t="s">
        <v>155</v>
      </c>
      <c r="B194" s="219" t="str">
        <f t="shared" si="12"/>
        <v>Skalierbar</v>
      </c>
      <c r="C194" s="220" t="s">
        <v>716</v>
      </c>
      <c r="D194" s="220" t="s">
        <v>513</v>
      </c>
    </row>
    <row r="195" spans="1:4">
      <c r="A195" s="177" t="s">
        <v>156</v>
      </c>
      <c r="B195" s="219" t="str">
        <f t="shared" si="12"/>
        <v>Einheit</v>
      </c>
      <c r="C195" s="220" t="s">
        <v>157</v>
      </c>
      <c r="D195" s="220" t="s">
        <v>514</v>
      </c>
    </row>
    <row r="196" spans="1:4">
      <c r="A196" s="177" t="s">
        <v>348</v>
      </c>
      <c r="B196" s="219" t="str">
        <f t="shared" si="12"/>
        <v>IaaS</v>
      </c>
      <c r="C196" s="220" t="s">
        <v>351</v>
      </c>
      <c r="D196" s="220" t="s">
        <v>351</v>
      </c>
    </row>
    <row r="197" spans="1:4">
      <c r="A197" s="177" t="s">
        <v>337</v>
      </c>
      <c r="B197" s="219" t="str">
        <f t="shared" si="12"/>
        <v>Beschreiben Sie eine typische IaaS-Leistung</v>
      </c>
      <c r="C197" s="220" t="s">
        <v>377</v>
      </c>
      <c r="D197" s="220" t="s">
        <v>515</v>
      </c>
    </row>
    <row r="198" spans="1:4" ht="25.5">
      <c r="A198" s="177" t="s">
        <v>342</v>
      </c>
      <c r="B198" s="219" t="str">
        <f t="shared" si="12"/>
        <v>Beschreiben Sie eine IaaS-Leistung für einen bis drei zentrale(n) Schweizer Geschäftskunden (inkl. Kundenauftragsidentifikator, z.B. Auftragsnummer)</v>
      </c>
      <c r="C198" s="220" t="s">
        <v>565</v>
      </c>
      <c r="D198" s="220" t="s">
        <v>516</v>
      </c>
    </row>
    <row r="199" spans="1:4" ht="38.25">
      <c r="A199" s="177" t="s">
        <v>343</v>
      </c>
      <c r="B199" s="219" t="str">
        <f t="shared" si="12"/>
        <v>Beschreiben Sie eine IaaS-Leistung für einen bis drei zentrale ausländische(n) Geschäftskunden (inkl. Kundenauftragsidentifikator, z.B. Auftragsnummer)</v>
      </c>
      <c r="C199" s="220" t="s">
        <v>566</v>
      </c>
      <c r="D199" s="220" t="s">
        <v>517</v>
      </c>
    </row>
    <row r="200" spans="1:4" ht="38.25">
      <c r="A200" s="177" t="s">
        <v>340</v>
      </c>
      <c r="B200" s="219" t="str">
        <f t="shared" si="12"/>
        <v>Beispiel: Storage on Demand (x GB durchschnittliche, effektive Nutzung pro Monat), y% Verfügbarkeit, x-fache Redundanz, Service Level: Standard, Sicherheitslevel: Standard, ohne Setup beim Kunden.</v>
      </c>
      <c r="C200" s="220" t="s">
        <v>675</v>
      </c>
      <c r="D200" s="220" t="s">
        <v>674</v>
      </c>
    </row>
    <row r="201" spans="1:4" ht="25.5">
      <c r="A201" s="177" t="s">
        <v>341</v>
      </c>
      <c r="B201" s="219" t="str">
        <f t="shared" si="12"/>
        <v>Beispiel: Virtueller Server mit x vCPU, y Memory, z Speicherplatz, x% Verfügbarkeit, Netzwerkeinbindung, Sicherheitslevel: Standard.</v>
      </c>
      <c r="C201" s="220" t="s">
        <v>676</v>
      </c>
      <c r="D201" s="220" t="s">
        <v>518</v>
      </c>
    </row>
    <row r="202" spans="1:4">
      <c r="A202" s="177" t="s">
        <v>349</v>
      </c>
      <c r="B202" s="219" t="str">
        <f t="shared" si="12"/>
        <v>PaaS</v>
      </c>
      <c r="C202" s="220" t="s">
        <v>352</v>
      </c>
      <c r="D202" s="220" t="s">
        <v>352</v>
      </c>
    </row>
    <row r="203" spans="1:4">
      <c r="A203" s="177" t="s">
        <v>338</v>
      </c>
      <c r="B203" s="219" t="str">
        <f t="shared" si="12"/>
        <v>Beschreiben Sie eine typische PaaS-Leistung</v>
      </c>
      <c r="C203" s="220" t="s">
        <v>698</v>
      </c>
      <c r="D203" s="220" t="s">
        <v>699</v>
      </c>
    </row>
    <row r="204" spans="1:4" ht="25.5">
      <c r="A204" s="177" t="s">
        <v>344</v>
      </c>
      <c r="B204" s="219" t="str">
        <f t="shared" si="12"/>
        <v>Beschreiben Sie eine PaaS-Leistung für einen bis drei zentrale(n) Schweizer Geschäftskunden (inkl. Kundenauftragsidentifikator, z.B. Auftragsnummer)</v>
      </c>
      <c r="C204" s="220" t="s">
        <v>567</v>
      </c>
      <c r="D204" s="220" t="s">
        <v>519</v>
      </c>
    </row>
    <row r="205" spans="1:4" ht="38.25">
      <c r="A205" s="177" t="s">
        <v>345</v>
      </c>
      <c r="B205" s="219" t="str">
        <f t="shared" si="12"/>
        <v>Beschreiben Sie eine PaaS-Leistung für einen bis drei zentrale ausländische(n) Geschäftskunden (inkl. Kundenauftragsidentifikator, z.B. Auftragsnummer)</v>
      </c>
      <c r="C205" s="220" t="s">
        <v>568</v>
      </c>
      <c r="D205" s="220" t="s">
        <v>520</v>
      </c>
    </row>
    <row r="206" spans="1:4">
      <c r="A206" s="177" t="s">
        <v>346</v>
      </c>
      <c r="B206" s="219" t="str">
        <f t="shared" si="12"/>
        <v>Beispiel: Datenbanklösungen für Kunde x.</v>
      </c>
      <c r="C206" s="133" t="s">
        <v>677</v>
      </c>
      <c r="D206" s="220" t="s">
        <v>679</v>
      </c>
    </row>
    <row r="207" spans="1:4">
      <c r="A207" s="177" t="s">
        <v>347</v>
      </c>
      <c r="B207" s="219" t="str">
        <f t="shared" si="12"/>
        <v>Beispiel: Web-Hosting mit Control Panels für Kunde y.</v>
      </c>
      <c r="C207" s="133" t="s">
        <v>678</v>
      </c>
      <c r="D207" s="220" t="s">
        <v>680</v>
      </c>
    </row>
    <row r="208" spans="1:4">
      <c r="A208" s="177" t="s">
        <v>350</v>
      </c>
      <c r="B208" s="219" t="str">
        <f t="shared" si="12"/>
        <v>SaaS</v>
      </c>
      <c r="C208" s="220" t="s">
        <v>353</v>
      </c>
      <c r="D208" s="220" t="s">
        <v>353</v>
      </c>
    </row>
    <row r="209" spans="1:4">
      <c r="A209" s="177" t="s">
        <v>339</v>
      </c>
      <c r="B209" s="219" t="str">
        <f t="shared" si="12"/>
        <v>Beschreiben Sie eine typische SaaS-Leistung</v>
      </c>
      <c r="C209" s="220" t="s">
        <v>376</v>
      </c>
      <c r="D209" s="220" t="s">
        <v>521</v>
      </c>
    </row>
    <row r="210" spans="1:4" ht="25.5">
      <c r="A210" s="177" t="s">
        <v>354</v>
      </c>
      <c r="B210" s="219" t="str">
        <f t="shared" si="12"/>
        <v>Beschreiben Sie eine SaaS-Leistung für einen bis drei zentrale(n) Schweizer Geschäftskunden (inkl. Kundenauftragsidentifikator, z.B. Auftragsnummer)</v>
      </c>
      <c r="C210" s="220" t="s">
        <v>569</v>
      </c>
      <c r="D210" s="220" t="s">
        <v>522</v>
      </c>
    </row>
    <row r="211" spans="1:4" ht="38.25">
      <c r="A211" s="177" t="s">
        <v>355</v>
      </c>
      <c r="B211" s="219" t="str">
        <f t="shared" si="12"/>
        <v>Beschreiben Sie eine SaaS-Leistung für einen bis drei zentrale ausländische(n) Geschäftskunden (inkl. Kundenauftragsidentifikator, z.B. Auftragsnummer)</v>
      </c>
      <c r="C211" s="220" t="s">
        <v>570</v>
      </c>
      <c r="D211" s="220" t="s">
        <v>523</v>
      </c>
    </row>
    <row r="212" spans="1:4" ht="25.5">
      <c r="A212" s="177" t="s">
        <v>356</v>
      </c>
      <c r="B212" s="219" t="str">
        <f t="shared" si="12"/>
        <v>Beispiel: Customer Relationship Management (CRM)-Lösung für Kunde x.</v>
      </c>
      <c r="C212" s="220" t="s">
        <v>682</v>
      </c>
      <c r="D212" s="220" t="s">
        <v>684</v>
      </c>
    </row>
    <row r="213" spans="1:4">
      <c r="A213" s="177" t="s">
        <v>357</v>
      </c>
      <c r="B213" s="219" t="str">
        <f t="shared" si="12"/>
        <v>Beispiel: Enterprise Ressource Planning (ERP)-Lösung für Kunde y.</v>
      </c>
      <c r="C213" s="220" t="s">
        <v>683</v>
      </c>
      <c r="D213" s="220" t="s">
        <v>685</v>
      </c>
    </row>
    <row r="214" spans="1:4">
      <c r="B214" s="219"/>
      <c r="C214" s="220"/>
      <c r="D214" s="220"/>
    </row>
    <row r="215" spans="1:4">
      <c r="C215" s="220"/>
      <c r="D215" s="220"/>
    </row>
    <row r="216" spans="1:4">
      <c r="B216" s="219"/>
      <c r="C216" s="220"/>
      <c r="D216" s="220"/>
    </row>
    <row r="217" spans="1:4">
      <c r="A217" s="177" t="s">
        <v>201</v>
      </c>
      <c r="B217" s="219" t="str">
        <f t="shared" ref="B217:B258" si="13">VLOOKUP(A217,A$4:F$371,B$2,FALSE)</f>
        <v>Definition</v>
      </c>
      <c r="C217" s="220" t="s">
        <v>202</v>
      </c>
      <c r="D217" s="220" t="s">
        <v>524</v>
      </c>
    </row>
    <row r="218" spans="1:4">
      <c r="A218" s="177" t="s">
        <v>204</v>
      </c>
      <c r="B218" s="219" t="str">
        <f t="shared" si="13"/>
        <v>Definitionen</v>
      </c>
      <c r="C218" s="220" t="s">
        <v>205</v>
      </c>
      <c r="D218" s="220" t="s">
        <v>525</v>
      </c>
    </row>
    <row r="219" spans="1:4">
      <c r="A219" s="177" t="s">
        <v>200</v>
      </c>
      <c r="B219" s="219" t="str">
        <f t="shared" si="13"/>
        <v>Anmerkung</v>
      </c>
      <c r="C219" s="220" t="s">
        <v>203</v>
      </c>
      <c r="D219" s="220" t="s">
        <v>526</v>
      </c>
    </row>
    <row r="220" spans="1:4">
      <c r="A220" s="177" t="s">
        <v>206</v>
      </c>
      <c r="B220" s="219" t="str">
        <f t="shared" si="13"/>
        <v>Anmerkungen</v>
      </c>
      <c r="C220" s="220" t="s">
        <v>207</v>
      </c>
      <c r="D220" s="220" t="s">
        <v>500</v>
      </c>
    </row>
    <row r="221" spans="1:4">
      <c r="A221" s="177" t="s">
        <v>174</v>
      </c>
      <c r="B221" s="219" t="str">
        <f t="shared" si="13"/>
        <v>ZURÜCK</v>
      </c>
      <c r="C221" s="220" t="s">
        <v>175</v>
      </c>
      <c r="D221" s="220" t="s">
        <v>527</v>
      </c>
    </row>
    <row r="222" spans="1:4">
      <c r="A222" s="177" t="s">
        <v>176</v>
      </c>
      <c r="B222" s="219" t="str">
        <f t="shared" si="13"/>
        <v>WEITER</v>
      </c>
      <c r="C222" s="220" t="s">
        <v>5</v>
      </c>
      <c r="D222" s="220" t="s">
        <v>528</v>
      </c>
    </row>
    <row r="223" spans="1:4">
      <c r="A223" s="177" t="s">
        <v>392</v>
      </c>
      <c r="B223" s="219" t="str">
        <f t="shared" si="13"/>
        <v>START DER PREISERHEBUNG</v>
      </c>
      <c r="C223" s="220" t="s">
        <v>406</v>
      </c>
      <c r="D223" s="220" t="s">
        <v>529</v>
      </c>
    </row>
    <row r="224" spans="1:4">
      <c r="A224" s="177" t="s">
        <v>168</v>
      </c>
      <c r="B224" s="219" t="str">
        <f t="shared" si="13"/>
        <v>% von 100% zugeteilt</v>
      </c>
      <c r="C224" s="220" t="s">
        <v>169</v>
      </c>
      <c r="D224" s="220" t="s">
        <v>554</v>
      </c>
    </row>
    <row r="225" spans="1:5">
      <c r="A225" s="177" t="s">
        <v>660</v>
      </c>
      <c r="B225" s="219" t="str">
        <f t="shared" si="13"/>
        <v>Bitte füllen Sie alle Felder aus (ausser PMS Nr.)</v>
      </c>
      <c r="C225" s="220" t="s">
        <v>734</v>
      </c>
      <c r="D225" s="220" t="s">
        <v>735</v>
      </c>
    </row>
    <row r="226" spans="1:5">
      <c r="A226" s="177" t="s">
        <v>188</v>
      </c>
      <c r="B226" s="219" t="str">
        <f t="shared" si="13"/>
        <v>Bitte geben Sie Ihren Umsatz an</v>
      </c>
      <c r="C226" s="220" t="s">
        <v>189</v>
      </c>
      <c r="D226" s="220" t="s">
        <v>530</v>
      </c>
    </row>
    <row r="227" spans="1:5">
      <c r="A227" s="177" t="s">
        <v>178</v>
      </c>
      <c r="B227" s="219" t="str">
        <f t="shared" si="13"/>
        <v>Bitte überprüfen Sie die Zeitanteile</v>
      </c>
      <c r="C227" s="220" t="s">
        <v>177</v>
      </c>
      <c r="D227" s="220" t="s">
        <v>531</v>
      </c>
    </row>
    <row r="228" spans="1:5">
      <c r="A228" s="177" t="s">
        <v>180</v>
      </c>
      <c r="B228" s="219" t="str">
        <f t="shared" si="13"/>
        <v>Bitte mindestens eine Qualifikationsstufe eingeben</v>
      </c>
      <c r="C228" s="220" t="s">
        <v>179</v>
      </c>
      <c r="D228" s="220" t="s">
        <v>532</v>
      </c>
    </row>
    <row r="229" spans="1:5">
      <c r="A229" s="177" t="s">
        <v>183</v>
      </c>
      <c r="B229" s="219" t="str">
        <f t="shared" si="13"/>
        <v>Bitte geben Sie auch die Exportanteile an, ggf. auch jeweils 0%</v>
      </c>
      <c r="C229" s="220" t="s">
        <v>184</v>
      </c>
      <c r="D229" s="220" t="s">
        <v>738</v>
      </c>
    </row>
    <row r="230" spans="1:5">
      <c r="A230" s="177" t="s">
        <v>185</v>
      </c>
      <c r="B230" s="219" t="str">
        <f t="shared" si="13"/>
        <v>Bitte geben Sie die Umsatzanteile richtig und vollständig an</v>
      </c>
      <c r="C230" s="220" t="s">
        <v>696</v>
      </c>
      <c r="D230" s="220" t="s">
        <v>697</v>
      </c>
    </row>
    <row r="231" spans="1:5">
      <c r="A231" s="177" t="s">
        <v>235</v>
      </c>
      <c r="B231" s="219" t="str">
        <f t="shared" si="13"/>
        <v>Bitte wählen Sie eine häufig angewendete Preisfestsetzungsmethode</v>
      </c>
      <c r="C231" s="220" t="s">
        <v>234</v>
      </c>
      <c r="D231" s="220" t="s">
        <v>533</v>
      </c>
    </row>
    <row r="232" spans="1:5" s="177" customFormat="1">
      <c r="A232" s="177" t="s">
        <v>243</v>
      </c>
      <c r="B232" s="219" t="str">
        <f t="shared" si="13"/>
        <v>Bitte beschreiben Sie die für Ihr Unternehmen zentrale Software</v>
      </c>
      <c r="C232" s="220" t="s">
        <v>713</v>
      </c>
      <c r="D232" s="220" t="s">
        <v>534</v>
      </c>
      <c r="E232" s="79"/>
    </row>
    <row r="233" spans="1:5" s="177" customFormat="1">
      <c r="A233" s="177" t="s">
        <v>244</v>
      </c>
      <c r="B233" s="219" t="str">
        <f t="shared" si="13"/>
        <v>Bitte die Preise im März 2022 eingeben</v>
      </c>
      <c r="C233" s="220" t="str">
        <f>"Bitte die Preise im März "&amp;C2&amp;" eingeben"</f>
        <v>Bitte die Preise im März 2022 eingeben</v>
      </c>
      <c r="D233" s="220" t="str">
        <f>"Entrez les prix de mars "&amp;C2</f>
        <v>Entrez les prix de mars 2022</v>
      </c>
      <c r="E233" s="79"/>
    </row>
    <row r="234" spans="1:5" s="177" customFormat="1">
      <c r="A234" s="177" t="s">
        <v>245</v>
      </c>
      <c r="B234" s="219" t="str">
        <f t="shared" si="13"/>
        <v>Bitte die Preise im März 2021 eingeben</v>
      </c>
      <c r="C234" s="220" t="str">
        <f>"Bitte die Preise im März "&amp;C2-1&amp;" eingeben"</f>
        <v>Bitte die Preise im März 2021 eingeben</v>
      </c>
      <c r="D234" s="220" t="str">
        <f>"Entrez les prix de mars "&amp;C2-1</f>
        <v>Entrez les prix de mars 2021</v>
      </c>
      <c r="E234" s="79"/>
    </row>
    <row r="235" spans="1:5" s="177" customFormat="1">
      <c r="A235" s="177" t="s">
        <v>246</v>
      </c>
      <c r="B235" s="219" t="str">
        <f t="shared" si="13"/>
        <v>Bitte geben Sie die Währung an</v>
      </c>
      <c r="C235" s="220" t="s">
        <v>247</v>
      </c>
      <c r="D235" s="220" t="s">
        <v>535</v>
      </c>
      <c r="E235" s="79"/>
    </row>
    <row r="236" spans="1:5" s="177" customFormat="1" ht="25.5">
      <c r="A236" s="177" t="s">
        <v>254</v>
      </c>
      <c r="B236" s="219" t="str">
        <f t="shared" si="13"/>
        <v>Bitte definieren Sie eine Ihrer zentralen Standardsoftware</v>
      </c>
      <c r="C236" s="220" t="s">
        <v>253</v>
      </c>
      <c r="D236" s="220" t="s">
        <v>536</v>
      </c>
      <c r="E236" s="79"/>
    </row>
    <row r="237" spans="1:5" s="177" customFormat="1">
      <c r="A237" s="177" t="s">
        <v>262</v>
      </c>
      <c r="B237" s="219" t="str">
        <f t="shared" si="13"/>
        <v>Bitte die aktuelle Kursgebühr angeben (März 2022)</v>
      </c>
      <c r="C237" s="220" t="str">
        <f>"Bitte die aktuelle Kursgebühr angeben (März "&amp;C2&amp;")"</f>
        <v>Bitte die aktuelle Kursgebühr angeben (März 2022)</v>
      </c>
      <c r="D237" s="220" t="str">
        <f>"Indiquez le tarif actuel des cours (mars "&amp;C2&amp;")"</f>
        <v>Indiquez le tarif actuel des cours (mars 2022)</v>
      </c>
      <c r="E237" s="79"/>
    </row>
    <row r="238" spans="1:5" s="177" customFormat="1">
      <c r="A238" s="177" t="s">
        <v>263</v>
      </c>
      <c r="B238" s="219" t="str">
        <f t="shared" si="13"/>
        <v>Bitte die durchschnittliche Teilnehmerzahl im März 2022 angeben</v>
      </c>
      <c r="C238" s="220" t="str">
        <f>"Bitte die durchschnittliche Teilnehmerzahl im März "&amp;C2&amp;" angeben"</f>
        <v>Bitte die durchschnittliche Teilnehmerzahl im März 2022 angeben</v>
      </c>
      <c r="D238" s="220" t="str">
        <f>"Indiquer le nombre moyen de participants dans mars "&amp;C2</f>
        <v>Indiquer le nombre moyen de participants dans mars 2022</v>
      </c>
      <c r="E238" s="79"/>
    </row>
    <row r="239" spans="1:5" s="177" customFormat="1" ht="25.5">
      <c r="A239" s="177" t="s">
        <v>264</v>
      </c>
      <c r="B239" s="219" t="str">
        <f t="shared" si="13"/>
        <v>Bitte die Kursgebühr im Vorjahr (März 2021) angeben</v>
      </c>
      <c r="C239" s="220" t="str">
        <f>"Bitte die Kursgebühr im Vorjahr (März "&amp;C2-1&amp;") angeben"</f>
        <v>Bitte die Kursgebühr im Vorjahr (März 2021) angeben</v>
      </c>
      <c r="D239" s="220" t="str">
        <f>"Indiquez le tarif des cours durant l'année précédente (mars "&amp;C2-1&amp;")"</f>
        <v>Indiquez le tarif des cours durant l'année précédente (mars 2021)</v>
      </c>
      <c r="E239" s="79"/>
    </row>
    <row r="240" spans="1:5" s="177" customFormat="1" ht="25.5">
      <c r="A240" s="177" t="s">
        <v>265</v>
      </c>
      <c r="B240" s="219" t="str">
        <f t="shared" si="13"/>
        <v>Bitte die durchschnittliche Teilnehmerzahl im März 2021 angeben</v>
      </c>
      <c r="C240" s="220" t="str">
        <f>"Bitte die durchschnittliche Teilnehmerzahl im März "&amp;C2-1&amp;" angeben"</f>
        <v>Bitte die durchschnittliche Teilnehmerzahl im März 2021 angeben</v>
      </c>
      <c r="D240" s="220" t="str">
        <f>"Indiquer le nombre moyen de participants dans mars "&amp;C2-1</f>
        <v>Indiquer le nombre moyen de participants dans mars 2021</v>
      </c>
      <c r="E240" s="79"/>
    </row>
    <row r="241" spans="1:5" s="177" customFormat="1">
      <c r="A241" s="177" t="s">
        <v>269</v>
      </c>
      <c r="B241" s="219" t="str">
        <f t="shared" si="13"/>
        <v>Bitte beschreiben Sie einen typischen Installationsauftrag</v>
      </c>
      <c r="C241" s="220" t="s">
        <v>268</v>
      </c>
      <c r="D241" s="220" t="s">
        <v>537</v>
      </c>
      <c r="E241" s="79"/>
    </row>
    <row r="242" spans="1:5" s="177" customFormat="1">
      <c r="A242" s="177" t="s">
        <v>273</v>
      </c>
      <c r="B242" s="219" t="str">
        <f t="shared" si="13"/>
        <v>Bitte geben Sie die skalierbare Einheit an</v>
      </c>
      <c r="C242" s="220" t="s">
        <v>272</v>
      </c>
      <c r="D242" s="220" t="s">
        <v>538</v>
      </c>
      <c r="E242" s="79"/>
    </row>
    <row r="243" spans="1:5" s="177" customFormat="1" ht="25.5">
      <c r="A243" s="177" t="s">
        <v>336</v>
      </c>
      <c r="B243" s="219" t="str">
        <f t="shared" si="13"/>
        <v>Bitte beschreiben Sie Dienstleistungen an zentrale Schweizer Geschäftskunden</v>
      </c>
      <c r="C243" s="220" t="s">
        <v>391</v>
      </c>
      <c r="D243" s="220" t="s">
        <v>539</v>
      </c>
      <c r="E243" s="79"/>
    </row>
    <row r="244" spans="1:5" s="177" customFormat="1" ht="25.5">
      <c r="A244" s="177" t="s">
        <v>335</v>
      </c>
      <c r="B244" s="219" t="str">
        <f t="shared" si="13"/>
        <v>Bitte beschreiben Sie Dienstleistungen an zentrale ausländische Geschäftskunden</v>
      </c>
      <c r="C244" s="220" t="s">
        <v>390</v>
      </c>
      <c r="D244" s="220" t="s">
        <v>540</v>
      </c>
      <c r="E244" s="79"/>
    </row>
    <row r="245" spans="1:5" s="177" customFormat="1">
      <c r="A245" s="177" t="s">
        <v>378</v>
      </c>
      <c r="B245" s="219" t="str">
        <f t="shared" si="13"/>
        <v>Bitte beschreiben Sie IaaS-Leistungen für Schweizer Geschäftskunden</v>
      </c>
      <c r="C245" s="220" t="s">
        <v>389</v>
      </c>
      <c r="D245" s="220" t="s">
        <v>541</v>
      </c>
      <c r="E245" s="79"/>
    </row>
    <row r="246" spans="1:5" s="177" customFormat="1" ht="12.75" customHeight="1">
      <c r="A246" s="177" t="s">
        <v>379</v>
      </c>
      <c r="B246" s="219" t="str">
        <f t="shared" si="13"/>
        <v>Bitte beschreiben Sie IaaS-Leistungen für ausländische Geschäftskunden</v>
      </c>
      <c r="C246" s="220" t="s">
        <v>388</v>
      </c>
      <c r="D246" s="220" t="s">
        <v>542</v>
      </c>
      <c r="E246" s="79"/>
    </row>
    <row r="247" spans="1:5" s="177" customFormat="1">
      <c r="A247" s="177" t="s">
        <v>380</v>
      </c>
      <c r="B247" s="219" t="str">
        <f t="shared" si="13"/>
        <v>Bitte beschreiben Sie PaaS-Leistungen für Schweizer Geschäftskunden</v>
      </c>
      <c r="C247" s="220" t="s">
        <v>387</v>
      </c>
      <c r="D247" s="220" t="s">
        <v>543</v>
      </c>
      <c r="E247" s="79"/>
    </row>
    <row r="248" spans="1:5" s="177" customFormat="1">
      <c r="A248" s="177" t="s">
        <v>381</v>
      </c>
      <c r="B248" s="219" t="str">
        <f t="shared" si="13"/>
        <v>Bitte beschreiben Sie PaaS-Leistungen für ausländische Geschäftskunden</v>
      </c>
      <c r="C248" s="220" t="s">
        <v>386</v>
      </c>
      <c r="D248" s="220" t="s">
        <v>544</v>
      </c>
      <c r="E248" s="79"/>
    </row>
    <row r="249" spans="1:5" s="177" customFormat="1">
      <c r="A249" s="177" t="s">
        <v>382</v>
      </c>
      <c r="B249" s="219" t="str">
        <f t="shared" si="13"/>
        <v>Bitte beschreiben Sie SaaS-Leistungen für Schweizer Geschäftskunden</v>
      </c>
      <c r="C249" s="220" t="s">
        <v>385</v>
      </c>
      <c r="D249" s="220" t="s">
        <v>545</v>
      </c>
      <c r="E249" s="79"/>
    </row>
    <row r="250" spans="1:5" s="177" customFormat="1">
      <c r="A250" s="177" t="s">
        <v>383</v>
      </c>
      <c r="B250" s="219" t="str">
        <f t="shared" si="13"/>
        <v>Bitte beschreiben Sie SaaS-Leistungen für ausländische Geschäftskunden</v>
      </c>
      <c r="C250" s="220" t="s">
        <v>384</v>
      </c>
      <c r="D250" s="220" t="s">
        <v>546</v>
      </c>
      <c r="E250" s="79"/>
    </row>
    <row r="251" spans="1:5" s="177" customFormat="1">
      <c r="A251" s="177" t="s">
        <v>588</v>
      </c>
      <c r="B251" s="219" t="str">
        <f t="shared" si="13"/>
        <v>Bitte geben Sie auch die Rabatte an, ggf. auch jeweils 0%</v>
      </c>
      <c r="C251" s="220" t="s">
        <v>589</v>
      </c>
      <c r="D251" s="220" t="s">
        <v>629</v>
      </c>
      <c r="E251" s="79"/>
    </row>
    <row r="252" spans="1:5" s="177" customFormat="1" ht="25.5">
      <c r="A252" s="177" t="s">
        <v>369</v>
      </c>
      <c r="B252" s="219" t="str">
        <f t="shared" si="13"/>
        <v>Sie haben nun die Möglichkeit für Anmerkungen und Kommentare zu dieser Umfrage:</v>
      </c>
      <c r="C252" s="220" t="s">
        <v>266</v>
      </c>
      <c r="D252" s="220" t="s">
        <v>547</v>
      </c>
      <c r="E252" s="79"/>
    </row>
    <row r="253" spans="1:5" s="177" customFormat="1">
      <c r="A253" s="177" t="s">
        <v>370</v>
      </c>
      <c r="B253" s="219" t="str">
        <f t="shared" si="13"/>
        <v>Sie sind am Ende der Umfrage angelangt.</v>
      </c>
      <c r="C253" s="220" t="s">
        <v>375</v>
      </c>
      <c r="D253" s="220" t="s">
        <v>548</v>
      </c>
      <c r="E253" s="79"/>
    </row>
    <row r="254" spans="1:5" s="177" customFormat="1">
      <c r="A254" s="223" t="s">
        <v>371</v>
      </c>
      <c r="B254" s="219" t="str">
        <f t="shared" si="13"/>
        <v>Bitte speichern Sie die Datei und senden Sie diese an:</v>
      </c>
      <c r="C254" s="220" t="s">
        <v>712</v>
      </c>
      <c r="D254" s="220" t="s">
        <v>631</v>
      </c>
      <c r="E254" s="79"/>
    </row>
    <row r="255" spans="1:5" s="177" customFormat="1">
      <c r="A255" s="177" t="s">
        <v>373</v>
      </c>
      <c r="B255" s="219" t="str">
        <f t="shared" si="13"/>
        <v>Vielen Dank für Ihre Teilnahme.</v>
      </c>
      <c r="C255" s="220" t="s">
        <v>374</v>
      </c>
      <c r="D255" s="220" t="s">
        <v>549</v>
      </c>
      <c r="E255" s="79"/>
    </row>
    <row r="256" spans="1:5" s="177" customFormat="1">
      <c r="A256" s="177" t="s">
        <v>580</v>
      </c>
      <c r="B256" s="219" t="str">
        <f t="shared" si="13"/>
        <v>Bitte speichern Sie die Datei</v>
      </c>
      <c r="C256" s="220" t="s">
        <v>632</v>
      </c>
      <c r="D256" s="220" t="s">
        <v>633</v>
      </c>
      <c r="E256" s="79"/>
    </row>
    <row r="257" spans="1:5" s="177" customFormat="1">
      <c r="A257" s="177" t="s">
        <v>616</v>
      </c>
      <c r="B257" s="219" t="str">
        <f t="shared" si="13"/>
        <v>Keine Angabe benötigt</v>
      </c>
      <c r="C257" s="220" t="s">
        <v>617</v>
      </c>
      <c r="D257" s="133" t="s">
        <v>630</v>
      </c>
      <c r="E257" s="79"/>
    </row>
    <row r="258" spans="1:5" s="177" customFormat="1">
      <c r="A258" s="177" t="s">
        <v>618</v>
      </c>
      <c r="B258" s="219" t="str">
        <f t="shared" si="13"/>
        <v>Optional</v>
      </c>
      <c r="C258" s="220" t="s">
        <v>619</v>
      </c>
      <c r="D258" s="133" t="s">
        <v>620</v>
      </c>
      <c r="E258" s="79"/>
    </row>
    <row r="259" spans="1:5" s="177" customFormat="1">
      <c r="D259" s="79"/>
      <c r="E259" s="79"/>
    </row>
    <row r="260" spans="1:5" s="177" customFormat="1">
      <c r="D260" s="79"/>
      <c r="E260" s="79"/>
    </row>
    <row r="261" spans="1:5" s="177" customFormat="1">
      <c r="D261" s="79"/>
      <c r="E261" s="79"/>
    </row>
    <row r="262" spans="1:5" s="177" customFormat="1" ht="38.25">
      <c r="A262" s="177" t="s">
        <v>721</v>
      </c>
      <c r="B262" s="177">
        <v>5</v>
      </c>
      <c r="D262" s="79"/>
      <c r="E262" s="79"/>
    </row>
    <row r="263" spans="1:5" s="177" customFormat="1" ht="38.25">
      <c r="A263" s="177" t="s">
        <v>722</v>
      </c>
      <c r="B263" s="177">
        <v>2</v>
      </c>
      <c r="D263" s="79"/>
      <c r="E263" s="79"/>
    </row>
    <row r="264" spans="1:5" s="177" customFormat="1" ht="38.25">
      <c r="A264" s="177" t="s">
        <v>723</v>
      </c>
      <c r="B264" s="177">
        <v>7</v>
      </c>
      <c r="D264" s="79"/>
      <c r="E264" s="79"/>
    </row>
    <row r="265" spans="1:5" s="177" customFormat="1" ht="38.25">
      <c r="A265" s="177" t="s">
        <v>724</v>
      </c>
      <c r="B265" s="177">
        <v>3</v>
      </c>
      <c r="D265" s="79"/>
      <c r="E265" s="79"/>
    </row>
    <row r="266" spans="1:5" s="177" customFormat="1" ht="38.25">
      <c r="A266" s="177" t="s">
        <v>725</v>
      </c>
      <c r="B266" s="177">
        <v>4</v>
      </c>
      <c r="D266" s="79"/>
      <c r="E266" s="79"/>
    </row>
    <row r="267" spans="1:5" s="177" customFormat="1" ht="38.450000000000003" customHeight="1">
      <c r="A267" s="177" t="s">
        <v>739</v>
      </c>
      <c r="B267" s="177" t="str">
        <f>VLOOKUP(A267,A$4:F$371,B$2,FALSE)</f>
        <v>Falls das Formular an dieser Stelle blockiert ist (möglich z.B. bei Excel 2007), können Sie mit der Tastenkombination Ctrl+PageDown zum nächsten Tabellenblatt wechseln.</v>
      </c>
      <c r="C267" s="177" t="s">
        <v>740</v>
      </c>
      <c r="D267" s="177" t="s">
        <v>741</v>
      </c>
      <c r="E267" s="79"/>
    </row>
    <row r="268" spans="1:5" s="177" customFormat="1">
      <c r="D268" s="79"/>
      <c r="E268" s="79"/>
    </row>
    <row r="269" spans="1:5" s="177" customFormat="1">
      <c r="B269" s="314"/>
      <c r="D269" s="79"/>
      <c r="E269" s="79"/>
    </row>
    <row r="270" spans="1:5" s="177" customFormat="1">
      <c r="D270" s="79"/>
      <c r="E270" s="79"/>
    </row>
    <row r="271" spans="1:5" s="177" customFormat="1">
      <c r="D271" s="79"/>
      <c r="E271" s="79"/>
    </row>
    <row r="272" spans="1:5" s="177" customFormat="1">
      <c r="D272" s="79"/>
      <c r="E272" s="79"/>
    </row>
    <row r="273" spans="4:5" s="177" customFormat="1">
      <c r="D273" s="79"/>
      <c r="E273" s="79"/>
    </row>
    <row r="274" spans="4:5" s="177" customFormat="1">
      <c r="D274" s="79"/>
      <c r="E274" s="79"/>
    </row>
    <row r="275" spans="4:5" s="177" customFormat="1">
      <c r="D275" s="79"/>
      <c r="E275" s="79"/>
    </row>
    <row r="276" spans="4:5" s="177" customFormat="1">
      <c r="D276" s="79"/>
      <c r="E276" s="79"/>
    </row>
    <row r="277" spans="4:5" s="177" customFormat="1">
      <c r="D277" s="79"/>
      <c r="E277" s="79"/>
    </row>
    <row r="278" spans="4:5" s="177" customFormat="1">
      <c r="D278" s="79"/>
      <c r="E278" s="79"/>
    </row>
    <row r="279" spans="4:5" s="177" customFormat="1">
      <c r="D279" s="79"/>
      <c r="E279" s="79"/>
    </row>
    <row r="280" spans="4:5" s="177" customFormat="1">
      <c r="D280" s="79"/>
      <c r="E280" s="79"/>
    </row>
    <row r="281" spans="4:5" s="177" customFormat="1">
      <c r="D281" s="79"/>
      <c r="E281" s="79"/>
    </row>
  </sheetData>
  <sheetProtection algorithmName="SHA-512" hashValue="sgz1wf/iUa1mk696D1tpqaDmkGIIVl/4tm5V5YePTFOb/VXdDYd7hDrq+x5oJRHw7hx/egQL/KE0+Grv7DCBuw==" saltValue="TSllm0pHIT2YUv2bKL7QNQ==" spinCount="100000" sheet="1" objects="1" scenarios="1"/>
  <pageMargins left="0.7" right="0.7" top="0.78740157499999996" bottom="0.78740157499999996" header="0.3" footer="0.3"/>
  <pageSetup paperSize="9" scale="43" orientation="landscape" horizontalDpi="4294967292" verticalDpi="4294967292" r:id="rId1"/>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S146"/>
  <sheetViews>
    <sheetView workbookViewId="0"/>
  </sheetViews>
  <sheetFormatPr baseColWidth="10" defaultColWidth="10.6640625" defaultRowHeight="12.75"/>
  <cols>
    <col min="1" max="3" width="10.6640625" style="79"/>
    <col min="4" max="4" width="10" style="197" bestFit="1" customWidth="1"/>
    <col min="5" max="5" width="50.109375" style="208" bestFit="1" customWidth="1"/>
    <col min="6" max="6" width="10.6640625" style="79"/>
    <col min="7" max="8" width="12.33203125" style="79" bestFit="1" customWidth="1"/>
    <col min="9" max="11" width="10.6640625" style="79"/>
    <col min="12" max="13" width="13.33203125" style="79" bestFit="1" customWidth="1"/>
    <col min="14" max="17" width="10.6640625" style="79"/>
    <col min="18" max="18" width="50" style="79" bestFit="1" customWidth="1"/>
    <col min="19" max="19" width="89.88671875" style="79" bestFit="1" customWidth="1"/>
    <col min="20" max="24" width="10.6640625" style="79"/>
    <col min="25" max="25" width="12.44140625" style="79" bestFit="1" customWidth="1"/>
    <col min="26" max="16384" width="10.6640625" style="79"/>
  </cols>
  <sheetData>
    <row r="1" spans="1:19">
      <c r="A1" s="188" t="s">
        <v>571</v>
      </c>
      <c r="B1" s="188" t="s">
        <v>592</v>
      </c>
      <c r="C1" s="202" t="s">
        <v>615</v>
      </c>
      <c r="D1" s="224" t="s">
        <v>614</v>
      </c>
      <c r="E1" s="226" t="s">
        <v>572</v>
      </c>
      <c r="F1" s="190" t="str">
        <f>txt!B161</f>
        <v>Währung</v>
      </c>
      <c r="G1" s="190" t="str">
        <f>txt!B166&amp;": "&amp;txt!B23</f>
        <v>Preis: März 2022</v>
      </c>
      <c r="H1" s="190" t="str">
        <f>txt!B166&amp;": "&amp;txt!B24</f>
        <v>Preis: März 2021</v>
      </c>
      <c r="I1" s="190" t="str">
        <f>txt!B168</f>
        <v>Zeitanteil</v>
      </c>
      <c r="J1" s="200" t="str">
        <f>"Bruttopreis: "&amp;txt!E23</f>
        <v xml:space="preserve">Bruttopreis: </v>
      </c>
      <c r="K1" s="200" t="str">
        <f>"Bruttopreis: "&amp;txt!B24</f>
        <v>Bruttopreis: März 2021</v>
      </c>
      <c r="L1" s="190" t="str">
        <f>txt!B94&amp;": "&amp;txt!B23</f>
        <v>Rabatt: März 2022</v>
      </c>
      <c r="M1" s="190" t="str">
        <f>txt!B94&amp;": "&amp;txt!B24</f>
        <v>Rabatt: März 2021</v>
      </c>
      <c r="N1" s="200" t="s">
        <v>593</v>
      </c>
      <c r="O1" s="200" t="s">
        <v>594</v>
      </c>
      <c r="P1" s="190" t="str">
        <f>txt!B194&amp;" "&amp;txt!B195</f>
        <v>Skalierbar Einheit</v>
      </c>
      <c r="Q1" s="189" t="str">
        <f>txt!B173</f>
        <v>Bemerkungen</v>
      </c>
      <c r="R1" s="190" t="str">
        <f>"Delta: "&amp;txt!B149&amp;": "&amp;txt!B24</f>
        <v>Delta: Durchschnittliche Lizenzgebühr bei einem Ersterwerb: März 2021</v>
      </c>
      <c r="S1" s="190" t="str">
        <f>txt!B153</f>
        <v xml:space="preserve">Gab es Preisänderungen ohne Änderungen im Leistungsumfang? Falls ja, bitte kurz begründen (Tarifänderungen, Marktlage etc.) </v>
      </c>
    </row>
    <row r="2" spans="1:19">
      <c r="A2" s="191" t="s">
        <v>281</v>
      </c>
      <c r="B2" s="79">
        <v>1</v>
      </c>
      <c r="C2" s="79">
        <f>Steuerung!A2*Steuerung!B3*Steuerung!C4</f>
        <v>0</v>
      </c>
      <c r="D2" s="197">
        <f>'0'!$D$11*'0'!$D$16*'1'!$C$13*(1-'1'!$E$13)</f>
        <v>0</v>
      </c>
      <c r="E2" s="208">
        <f>'11cCH'!$A$17</f>
        <v>0</v>
      </c>
      <c r="F2" s="201"/>
      <c r="G2" s="79">
        <f>'11cCH'!$D$17</f>
        <v>0</v>
      </c>
      <c r="H2" s="79">
        <f>'11cCH'!$E$17</f>
        <v>0</v>
      </c>
      <c r="I2" s="201"/>
      <c r="J2" s="201"/>
      <c r="K2" s="201"/>
      <c r="L2" s="201"/>
      <c r="M2" s="201"/>
      <c r="N2" s="201"/>
      <c r="O2" s="201"/>
      <c r="P2" s="201"/>
      <c r="Q2" s="79">
        <f>'11cCH'!$A$29</f>
        <v>0</v>
      </c>
      <c r="R2" s="201"/>
      <c r="S2" s="201"/>
    </row>
    <row r="3" spans="1:19">
      <c r="A3" s="191"/>
      <c r="B3" s="79">
        <v>2</v>
      </c>
      <c r="C3" s="199">
        <f>IF(C2=1,txt!B258,0)</f>
        <v>0</v>
      </c>
      <c r="D3" s="201"/>
      <c r="E3" s="208">
        <f>'11cCH'!$A$19</f>
        <v>0</v>
      </c>
      <c r="F3" s="201"/>
      <c r="G3" s="79">
        <f>'11cCH'!$D$19</f>
        <v>0</v>
      </c>
      <c r="H3" s="79">
        <f>'11cCH'!$E$19</f>
        <v>0</v>
      </c>
      <c r="I3" s="201"/>
      <c r="J3" s="201"/>
      <c r="K3" s="201"/>
      <c r="L3" s="201"/>
      <c r="M3" s="201"/>
      <c r="N3" s="201"/>
      <c r="O3" s="201"/>
      <c r="P3" s="201"/>
      <c r="Q3" s="201"/>
      <c r="R3" s="201"/>
      <c r="S3" s="201"/>
    </row>
    <row r="4" spans="1:19">
      <c r="A4" s="191"/>
      <c r="B4" s="79">
        <v>3</v>
      </c>
      <c r="C4" s="199">
        <f>IF(C3=1,txt!B258,0)</f>
        <v>0</v>
      </c>
      <c r="D4" s="201"/>
      <c r="E4" s="208">
        <f>'11cCH'!$A$21</f>
        <v>0</v>
      </c>
      <c r="F4" s="201"/>
      <c r="G4" s="79">
        <f>'11cCH'!$D$21</f>
        <v>0</v>
      </c>
      <c r="H4" s="79">
        <f>'11cCH'!$E$21</f>
        <v>0</v>
      </c>
      <c r="I4" s="201"/>
      <c r="J4" s="201"/>
      <c r="K4" s="201"/>
      <c r="L4" s="201"/>
      <c r="M4" s="201"/>
      <c r="N4" s="201"/>
      <c r="O4" s="201"/>
      <c r="P4" s="201"/>
      <c r="Q4" s="201"/>
      <c r="R4" s="201"/>
      <c r="S4" s="201"/>
    </row>
    <row r="5" spans="1:19">
      <c r="A5" s="191" t="s">
        <v>282</v>
      </c>
      <c r="B5" s="79">
        <v>1</v>
      </c>
      <c r="C5" s="79">
        <f>Steuerung!A2*Steuerung!B3*Steuerung!C4*Steuerung!E4</f>
        <v>0</v>
      </c>
      <c r="D5" s="197">
        <f>'0'!$D$11*'0'!$D$16*'1'!$C$13*'1'!$E$13</f>
        <v>0</v>
      </c>
      <c r="E5" s="208">
        <f>'11cEX'!$A$17</f>
        <v>0</v>
      </c>
      <c r="F5" s="79">
        <f>'11cEX'!$G$17</f>
        <v>0</v>
      </c>
      <c r="G5" s="195">
        <f>'11cEX'!$H$17</f>
        <v>0</v>
      </c>
      <c r="H5" s="195">
        <f>'11cEX'!$I$17</f>
        <v>0</v>
      </c>
      <c r="I5" s="201"/>
      <c r="J5" s="201"/>
      <c r="K5" s="201"/>
      <c r="L5" s="201"/>
      <c r="M5" s="201"/>
      <c r="N5" s="201"/>
      <c r="O5" s="201"/>
      <c r="P5" s="201"/>
      <c r="Q5" s="79">
        <f>'11cEX'!$A$29</f>
        <v>0</v>
      </c>
      <c r="R5" s="201"/>
      <c r="S5" s="201"/>
    </row>
    <row r="6" spans="1:19">
      <c r="A6" s="191"/>
      <c r="B6" s="79">
        <v>2</v>
      </c>
      <c r="C6" s="199">
        <f>IF(C5=1,txt!B258,0)</f>
        <v>0</v>
      </c>
      <c r="D6" s="201"/>
      <c r="E6" s="208">
        <f>'11cEX'!$A$19</f>
        <v>0</v>
      </c>
      <c r="F6" s="79">
        <f>'11cEX'!$G$19</f>
        <v>0</v>
      </c>
      <c r="G6" s="195">
        <f>'11cEX'!$H$19</f>
        <v>0</v>
      </c>
      <c r="H6" s="195">
        <f>'11cEX'!$I$19</f>
        <v>0</v>
      </c>
      <c r="I6" s="201"/>
      <c r="J6" s="201"/>
      <c r="K6" s="201"/>
      <c r="L6" s="201"/>
      <c r="M6" s="201"/>
      <c r="N6" s="201"/>
      <c r="O6" s="201"/>
      <c r="P6" s="201"/>
      <c r="Q6" s="201"/>
      <c r="R6" s="201"/>
      <c r="S6" s="201"/>
    </row>
    <row r="7" spans="1:19">
      <c r="A7" s="191"/>
      <c r="B7" s="79">
        <v>3</v>
      </c>
      <c r="C7" s="199">
        <f>IF(C5=1,txt!B258,0)</f>
        <v>0</v>
      </c>
      <c r="D7" s="201"/>
      <c r="E7" s="208">
        <f>'11cEX'!$A$21</f>
        <v>0</v>
      </c>
      <c r="F7" s="79">
        <f>'11cEX'!$G$21</f>
        <v>0</v>
      </c>
      <c r="G7" s="195">
        <f>'11cEX'!$H$21</f>
        <v>0</v>
      </c>
      <c r="H7" s="195">
        <f>'11cEX'!$I$21</f>
        <v>0</v>
      </c>
      <c r="I7" s="201"/>
      <c r="J7" s="201"/>
      <c r="K7" s="201"/>
      <c r="L7" s="201"/>
      <c r="M7" s="201"/>
      <c r="N7" s="201"/>
      <c r="O7" s="201"/>
      <c r="P7" s="201"/>
      <c r="Q7" s="201"/>
      <c r="R7" s="201"/>
      <c r="S7" s="201"/>
    </row>
    <row r="8" spans="1:19">
      <c r="A8" s="191" t="s">
        <v>590</v>
      </c>
      <c r="B8" s="79" t="str">
        <f>txt!B107</f>
        <v>Plan</v>
      </c>
      <c r="C8" s="133">
        <f>Steuerung!A2*Steuerung!B3*Steuerung!C6</f>
        <v>0</v>
      </c>
      <c r="D8" s="197">
        <f>'0'!$D$11*'0'!$D$16*'1'!$C$13*(1-'1'!$E$13)</f>
        <v>0</v>
      </c>
      <c r="E8" s="227" t="str">
        <f>'11hCH'!A$17</f>
        <v>z.B. Junior (Erste IT-Kenntnisse)</v>
      </c>
      <c r="F8" s="201"/>
      <c r="G8" s="79">
        <f>J8*(1-L8)</f>
        <v>0</v>
      </c>
      <c r="H8" s="79">
        <f>K8*(1-M8)</f>
        <v>0</v>
      </c>
      <c r="I8" s="196">
        <f>'11hCH'!C$17</f>
        <v>0</v>
      </c>
      <c r="J8" s="210">
        <f>'11hCH'!E$17</f>
        <v>0</v>
      </c>
      <c r="K8" s="210">
        <f>'11hCH'!F$17</f>
        <v>0</v>
      </c>
      <c r="L8" s="196">
        <f>'11hCH'!H17</f>
        <v>0</v>
      </c>
      <c r="M8" s="196">
        <f>'11hCH'!I$17</f>
        <v>0</v>
      </c>
      <c r="N8" s="201"/>
      <c r="O8" s="201"/>
      <c r="P8" s="201"/>
      <c r="Q8" s="79">
        <f>'11hCH'!A$50</f>
        <v>0</v>
      </c>
      <c r="R8" s="201"/>
      <c r="S8" s="201"/>
    </row>
    <row r="9" spans="1:19">
      <c r="A9" s="191"/>
      <c r="B9" s="79" t="str">
        <f>B8</f>
        <v>Plan</v>
      </c>
      <c r="C9" s="229">
        <f>IF(C8=1,txt!B258,0)</f>
        <v>0</v>
      </c>
      <c r="D9" s="201"/>
      <c r="E9" s="227" t="str">
        <f>'11hCH'!A$19</f>
        <v>z.B. Professional (3 oder mehr Jahre Berufserfahrung)</v>
      </c>
      <c r="F9" s="201"/>
      <c r="G9" s="79">
        <f t="shared" ref="G9:G27" si="0">J9*(1-L9)</f>
        <v>0</v>
      </c>
      <c r="H9" s="79">
        <f t="shared" ref="H9:H27" si="1">K9*(1-M9)</f>
        <v>0</v>
      </c>
      <c r="I9" s="196">
        <f>'11hCH'!C$19</f>
        <v>0</v>
      </c>
      <c r="J9" s="210">
        <f>'11hCH'!E$19</f>
        <v>0</v>
      </c>
      <c r="K9" s="210">
        <f>'11hCH'!F$19</f>
        <v>0</v>
      </c>
      <c r="L9" s="196">
        <f>'11hCH'!H19</f>
        <v>0</v>
      </c>
      <c r="M9" s="196">
        <f>'11hCH'!I$18</f>
        <v>0</v>
      </c>
      <c r="N9" s="201"/>
      <c r="O9" s="201"/>
      <c r="P9" s="201"/>
      <c r="Q9" s="201"/>
      <c r="R9" s="201"/>
      <c r="S9" s="201"/>
    </row>
    <row r="10" spans="1:19">
      <c r="A10" s="191"/>
      <c r="B10" s="79" t="str">
        <f>B9</f>
        <v>Plan</v>
      </c>
      <c r="C10" s="229">
        <f>IF(C8=1,txt!B258,0)</f>
        <v>0</v>
      </c>
      <c r="D10" s="201"/>
      <c r="E10" s="227" t="str">
        <f>'11hCH'!A$21</f>
        <v>z.B. Senior (5 oder mehr Jahre Berufserfahrung)</v>
      </c>
      <c r="F10" s="201"/>
      <c r="G10" s="79">
        <f t="shared" si="0"/>
        <v>0</v>
      </c>
      <c r="H10" s="79">
        <f t="shared" si="1"/>
        <v>0</v>
      </c>
      <c r="I10" s="196">
        <f>'11hCH'!C$21</f>
        <v>0</v>
      </c>
      <c r="J10" s="210">
        <f>'11hCH'!E$21</f>
        <v>0</v>
      </c>
      <c r="K10" s="210">
        <f>'11hCH'!F$21</f>
        <v>0</v>
      </c>
      <c r="L10" s="196">
        <f>'11hCH'!H19</f>
        <v>0</v>
      </c>
      <c r="M10" s="196">
        <f>'11hCH'!I$19</f>
        <v>0</v>
      </c>
      <c r="N10" s="201"/>
      <c r="O10" s="201"/>
      <c r="P10" s="201"/>
      <c r="Q10" s="201"/>
      <c r="R10" s="201"/>
      <c r="S10" s="201"/>
    </row>
    <row r="11" spans="1:19">
      <c r="A11" s="191"/>
      <c r="B11" s="79" t="str">
        <f>B10</f>
        <v>Plan</v>
      </c>
      <c r="C11" s="229">
        <f>IF(C8=1,txt!B258,0)</f>
        <v>0</v>
      </c>
      <c r="D11" s="201"/>
      <c r="E11" s="227">
        <f>'11hCH'!A$23</f>
        <v>0</v>
      </c>
      <c r="F11" s="201"/>
      <c r="G11" s="79">
        <f t="shared" si="0"/>
        <v>0</v>
      </c>
      <c r="H11" s="79">
        <f t="shared" si="1"/>
        <v>0</v>
      </c>
      <c r="I11" s="196">
        <f>'11hCH'!C$23</f>
        <v>0</v>
      </c>
      <c r="J11" s="210">
        <f>'11hCH'!E$23</f>
        <v>0</v>
      </c>
      <c r="K11" s="210">
        <f>'11hCH'!F$23</f>
        <v>0</v>
      </c>
      <c r="L11" s="196">
        <f>'11hCH'!H20</f>
        <v>0</v>
      </c>
      <c r="M11" s="196">
        <f>'11hCH'!I$20</f>
        <v>0</v>
      </c>
      <c r="N11" s="201"/>
      <c r="O11" s="201"/>
      <c r="P11" s="201"/>
      <c r="Q11" s="201"/>
      <c r="R11" s="201"/>
      <c r="S11" s="201"/>
    </row>
    <row r="12" spans="1:19">
      <c r="A12" s="191"/>
      <c r="B12" s="79" t="str">
        <f>B11</f>
        <v>Plan</v>
      </c>
      <c r="C12" s="229">
        <f>IF(C8=1,txt!B258,0)</f>
        <v>0</v>
      </c>
      <c r="D12" s="201"/>
      <c r="E12" s="227">
        <f>'11hCH'!A$25</f>
        <v>0</v>
      </c>
      <c r="F12" s="201"/>
      <c r="G12" s="79">
        <f t="shared" si="0"/>
        <v>0</v>
      </c>
      <c r="H12" s="79">
        <f t="shared" si="1"/>
        <v>0</v>
      </c>
      <c r="I12" s="196">
        <f>'11hCH'!C$25</f>
        <v>0</v>
      </c>
      <c r="J12" s="210">
        <f>'11hCH'!E$25</f>
        <v>0</v>
      </c>
      <c r="K12" s="210">
        <f>'11hCH'!F$25</f>
        <v>0</v>
      </c>
      <c r="L12" s="196">
        <f>'11hCH'!H21</f>
        <v>0</v>
      </c>
      <c r="M12" s="196">
        <f>'11hCH'!I$21</f>
        <v>0</v>
      </c>
      <c r="N12" s="201"/>
      <c r="O12" s="201"/>
      <c r="P12" s="201"/>
      <c r="Q12" s="201"/>
      <c r="R12" s="201"/>
      <c r="S12" s="201"/>
    </row>
    <row r="13" spans="1:19">
      <c r="A13" s="191" t="s">
        <v>590</v>
      </c>
      <c r="B13" s="79" t="str">
        <f>txt!B109</f>
        <v>Build</v>
      </c>
      <c r="C13" s="133">
        <f>C8</f>
        <v>0</v>
      </c>
      <c r="D13" s="201"/>
      <c r="E13" s="227" t="str">
        <f>'11hCH'!A$30</f>
        <v>z.B. Junior (Erste IT-Kenntnisse)</v>
      </c>
      <c r="F13" s="201"/>
      <c r="G13" s="79">
        <f t="shared" si="0"/>
        <v>0</v>
      </c>
      <c r="H13" s="79">
        <f t="shared" si="1"/>
        <v>0</v>
      </c>
      <c r="I13" s="196">
        <f>'11hCH'!C$30</f>
        <v>0</v>
      </c>
      <c r="J13" s="210">
        <f>'11hCH'!E$30</f>
        <v>0</v>
      </c>
      <c r="K13" s="210">
        <f>'11hCH'!F$30</f>
        <v>0</v>
      </c>
      <c r="L13" s="196">
        <f>'11hCH'!H30</f>
        <v>0</v>
      </c>
      <c r="M13" s="196">
        <f>'11hCH'!I$30</f>
        <v>0</v>
      </c>
      <c r="N13" s="201"/>
      <c r="O13" s="201"/>
      <c r="P13" s="201"/>
      <c r="Q13" s="201"/>
      <c r="R13" s="201"/>
      <c r="S13" s="201"/>
    </row>
    <row r="14" spans="1:19">
      <c r="A14" s="191"/>
      <c r="B14" s="79" t="str">
        <f t="shared" ref="B14:B17" si="2">B13</f>
        <v>Build</v>
      </c>
      <c r="C14" s="229">
        <f>IF(C13=1,txt!B258,0)</f>
        <v>0</v>
      </c>
      <c r="D14" s="201"/>
      <c r="E14" s="227" t="str">
        <f>'11hCH'!A$32</f>
        <v>z.B. Professional (3 oder mehr Jahre Berufserfahrung)</v>
      </c>
      <c r="F14" s="201"/>
      <c r="G14" s="79">
        <f t="shared" si="0"/>
        <v>0</v>
      </c>
      <c r="H14" s="79">
        <f t="shared" si="1"/>
        <v>0</v>
      </c>
      <c r="I14" s="196">
        <f>'11hCH'!C$32</f>
        <v>0</v>
      </c>
      <c r="J14" s="210">
        <f>'11hCH'!E$32</f>
        <v>0</v>
      </c>
      <c r="K14" s="210">
        <f>'11hCH'!F$32</f>
        <v>0</v>
      </c>
      <c r="L14" s="196">
        <f>'11hCH'!H32</f>
        <v>0</v>
      </c>
      <c r="M14" s="196">
        <f>'11hCH'!I$32</f>
        <v>0</v>
      </c>
      <c r="N14" s="201"/>
      <c r="O14" s="201"/>
      <c r="P14" s="201"/>
      <c r="Q14" s="201"/>
      <c r="R14" s="201"/>
      <c r="S14" s="201"/>
    </row>
    <row r="15" spans="1:19">
      <c r="A15" s="191"/>
      <c r="B15" s="79" t="str">
        <f t="shared" si="2"/>
        <v>Build</v>
      </c>
      <c r="C15" s="229">
        <f>IF(C13=1,txt!B258,0)</f>
        <v>0</v>
      </c>
      <c r="D15" s="201"/>
      <c r="E15" s="227" t="str">
        <f>'11hCH'!A$34</f>
        <v>z.B. Senior (5 oder mehr Jahre Berufserfahrung)</v>
      </c>
      <c r="F15" s="201"/>
      <c r="G15" s="79">
        <f t="shared" si="0"/>
        <v>0</v>
      </c>
      <c r="H15" s="79">
        <f t="shared" si="1"/>
        <v>0</v>
      </c>
      <c r="I15" s="196">
        <f>'11hCH'!C$34</f>
        <v>0</v>
      </c>
      <c r="J15" s="210">
        <f>'11hCH'!E$34</f>
        <v>0</v>
      </c>
      <c r="K15" s="210">
        <f>'11hCH'!F$34</f>
        <v>0</v>
      </c>
      <c r="L15" s="196">
        <f>'11hCH'!H34</f>
        <v>0</v>
      </c>
      <c r="M15" s="196">
        <f>'11hCH'!I$34</f>
        <v>0</v>
      </c>
      <c r="N15" s="201"/>
      <c r="O15" s="201"/>
      <c r="P15" s="201"/>
      <c r="Q15" s="201"/>
      <c r="R15" s="201"/>
      <c r="S15" s="201"/>
    </row>
    <row r="16" spans="1:19">
      <c r="A16" s="191"/>
      <c r="B16" s="79" t="str">
        <f t="shared" si="2"/>
        <v>Build</v>
      </c>
      <c r="C16" s="229">
        <f>IF(C13=1,txt!B258,0)</f>
        <v>0</v>
      </c>
      <c r="D16" s="201"/>
      <c r="E16" s="227">
        <f>'11hCH'!A$36</f>
        <v>0</v>
      </c>
      <c r="F16" s="201"/>
      <c r="G16" s="79">
        <f t="shared" si="0"/>
        <v>0</v>
      </c>
      <c r="H16" s="79">
        <f t="shared" si="1"/>
        <v>0</v>
      </c>
      <c r="I16" s="196">
        <f>'11hCH'!C$36</f>
        <v>0</v>
      </c>
      <c r="J16" s="210">
        <f>'11hCH'!E$36</f>
        <v>0</v>
      </c>
      <c r="K16" s="210">
        <f>'11hCH'!F$36</f>
        <v>0</v>
      </c>
      <c r="L16" s="196">
        <f>'11hCH'!H36</f>
        <v>0</v>
      </c>
      <c r="M16" s="196">
        <f>'11hCH'!I$36</f>
        <v>0</v>
      </c>
      <c r="N16" s="201"/>
      <c r="O16" s="201"/>
      <c r="P16" s="201"/>
      <c r="Q16" s="201"/>
      <c r="R16" s="201"/>
      <c r="S16" s="201"/>
    </row>
    <row r="17" spans="1:19">
      <c r="A17" s="191"/>
      <c r="B17" s="79" t="str">
        <f t="shared" si="2"/>
        <v>Build</v>
      </c>
      <c r="C17" s="229">
        <f>IF(C13=1,txt!B258,0)</f>
        <v>0</v>
      </c>
      <c r="D17" s="201"/>
      <c r="E17" s="227">
        <f>'11hCH'!A$38</f>
        <v>0</v>
      </c>
      <c r="F17" s="201"/>
      <c r="G17" s="79">
        <f t="shared" si="0"/>
        <v>0</v>
      </c>
      <c r="H17" s="79">
        <f t="shared" si="1"/>
        <v>0</v>
      </c>
      <c r="I17" s="196">
        <f>'11hCH'!C$38</f>
        <v>0</v>
      </c>
      <c r="J17" s="210">
        <f>'11hCH'!E$38</f>
        <v>0</v>
      </c>
      <c r="K17" s="210">
        <f>'11hCH'!F$38</f>
        <v>0</v>
      </c>
      <c r="L17" s="196">
        <f>'11hCH'!H38</f>
        <v>0</v>
      </c>
      <c r="M17" s="196">
        <f>'11hCH'!I$38</f>
        <v>0</v>
      </c>
      <c r="N17" s="201"/>
      <c r="O17" s="201"/>
      <c r="P17" s="201"/>
      <c r="Q17" s="201"/>
      <c r="R17" s="201"/>
      <c r="S17" s="201"/>
    </row>
    <row r="18" spans="1:19">
      <c r="A18" s="191" t="s">
        <v>591</v>
      </c>
      <c r="B18" s="79" t="str">
        <f>B8</f>
        <v>Plan</v>
      </c>
      <c r="C18" s="133">
        <f>Steuerung!A2*Steuerung!B3*Steuerung!C6*Steuerung!E6</f>
        <v>0</v>
      </c>
      <c r="D18" s="197">
        <f>'0'!$D$11*'0'!$D$16*'1'!$C$13*'1'!$E$13</f>
        <v>0</v>
      </c>
      <c r="E18" s="227" t="str">
        <f>'11hEX'!A$17</f>
        <v>z.B. Junior (Erste IT-Kenntnisse)</v>
      </c>
      <c r="F18" s="210">
        <f>'11hEX'!D$17</f>
        <v>0</v>
      </c>
      <c r="G18" s="79">
        <f t="shared" si="0"/>
        <v>0</v>
      </c>
      <c r="H18" s="79">
        <f t="shared" si="1"/>
        <v>0</v>
      </c>
      <c r="I18" s="196">
        <f>'11hEX'!C$17</f>
        <v>0</v>
      </c>
      <c r="J18" s="210">
        <f>'11hEX'!E$17</f>
        <v>0</v>
      </c>
      <c r="K18" s="210">
        <f>'11hEX'!F$17</f>
        <v>0</v>
      </c>
      <c r="L18" s="196">
        <f>'11hEX'!H27</f>
        <v>0</v>
      </c>
      <c r="M18" s="196">
        <f>'11hEX'!I$17</f>
        <v>0</v>
      </c>
      <c r="N18" s="201"/>
      <c r="O18" s="201"/>
      <c r="P18" s="201"/>
      <c r="Q18" s="79">
        <f>'11hEX'!A$50</f>
        <v>0</v>
      </c>
      <c r="R18" s="201"/>
      <c r="S18" s="201"/>
    </row>
    <row r="19" spans="1:19">
      <c r="A19" s="191"/>
      <c r="B19" s="79" t="str">
        <f t="shared" ref="B19:B22" si="3">B18</f>
        <v>Plan</v>
      </c>
      <c r="C19" s="229">
        <f>IF(C18=1,txt!B258,0)</f>
        <v>0</v>
      </c>
      <c r="D19" s="201"/>
      <c r="E19" s="227" t="str">
        <f>'11hEX'!A$19</f>
        <v>z.B. Professional (3 oder mehr Jahre Berufserfahrung)</v>
      </c>
      <c r="F19" s="210" t="str">
        <f>'11hEX'!D$19</f>
        <v/>
      </c>
      <c r="G19" s="79">
        <f t="shared" si="0"/>
        <v>0</v>
      </c>
      <c r="H19" s="79">
        <f t="shared" si="1"/>
        <v>0</v>
      </c>
      <c r="I19" s="196">
        <f>'11hEX'!C$19</f>
        <v>0</v>
      </c>
      <c r="J19" s="210">
        <f>'11hEX'!E$19</f>
        <v>0</v>
      </c>
      <c r="K19" s="210">
        <f>'11hEX'!F$19</f>
        <v>0</v>
      </c>
      <c r="L19" s="196">
        <f>'11hEX'!H29</f>
        <v>0</v>
      </c>
      <c r="M19" s="196">
        <f>'11hEX'!I$18</f>
        <v>0</v>
      </c>
      <c r="N19" s="201"/>
      <c r="O19" s="201"/>
      <c r="P19" s="201"/>
      <c r="Q19" s="201"/>
      <c r="R19" s="201"/>
      <c r="S19" s="201"/>
    </row>
    <row r="20" spans="1:19">
      <c r="A20" s="191"/>
      <c r="B20" s="79" t="str">
        <f t="shared" si="3"/>
        <v>Plan</v>
      </c>
      <c r="C20" s="229">
        <f>IF(C18=1,txt!B258,0)</f>
        <v>0</v>
      </c>
      <c r="D20" s="201"/>
      <c r="E20" s="227" t="str">
        <f>'11hEX'!A$21</f>
        <v>z.B. Senior (5 oder mehr Jahre Berufserfahrung)</v>
      </c>
      <c r="F20" s="210" t="str">
        <f>'11hEX'!D$21</f>
        <v/>
      </c>
      <c r="G20" s="79">
        <f t="shared" si="0"/>
        <v>0</v>
      </c>
      <c r="H20" s="79">
        <f t="shared" si="1"/>
        <v>0</v>
      </c>
      <c r="I20" s="196">
        <f>'11hEX'!C$21</f>
        <v>0</v>
      </c>
      <c r="J20" s="210">
        <f>'11hEX'!E$21</f>
        <v>0</v>
      </c>
      <c r="K20" s="210">
        <f>'11hEX'!F$21</f>
        <v>0</v>
      </c>
      <c r="L20" s="196">
        <f>'11hEX'!H29</f>
        <v>0</v>
      </c>
      <c r="M20" s="196">
        <f>'11hEX'!I$19</f>
        <v>0</v>
      </c>
      <c r="N20" s="201"/>
      <c r="O20" s="201"/>
      <c r="P20" s="201"/>
      <c r="Q20" s="201"/>
      <c r="R20" s="201"/>
      <c r="S20" s="201"/>
    </row>
    <row r="21" spans="1:19">
      <c r="A21" s="191"/>
      <c r="B21" s="79" t="str">
        <f t="shared" si="3"/>
        <v>Plan</v>
      </c>
      <c r="C21" s="229">
        <f>IF(C18=1,txt!B258,0)</f>
        <v>0</v>
      </c>
      <c r="D21" s="201"/>
      <c r="E21" s="227">
        <f>'11hEX'!A$23</f>
        <v>0</v>
      </c>
      <c r="F21" s="210" t="str">
        <f>'11hEX'!D$23</f>
        <v/>
      </c>
      <c r="G21" s="79">
        <f t="shared" si="0"/>
        <v>0</v>
      </c>
      <c r="H21" s="79">
        <f t="shared" si="1"/>
        <v>0</v>
      </c>
      <c r="I21" s="196">
        <f>'11hEX'!C$23</f>
        <v>0</v>
      </c>
      <c r="J21" s="210">
        <f>'11hEX'!E$23</f>
        <v>0</v>
      </c>
      <c r="K21" s="210">
        <f>'11hEX'!F$23</f>
        <v>0</v>
      </c>
      <c r="L21" s="196">
        <f>'11hEX'!H30</f>
        <v>0</v>
      </c>
      <c r="M21" s="196">
        <f>'11hEX'!I$20</f>
        <v>0</v>
      </c>
      <c r="N21" s="201"/>
      <c r="O21" s="201"/>
      <c r="P21" s="201"/>
      <c r="Q21" s="201"/>
      <c r="R21" s="201"/>
      <c r="S21" s="201"/>
    </row>
    <row r="22" spans="1:19">
      <c r="A22" s="191"/>
      <c r="B22" s="79" t="str">
        <f t="shared" si="3"/>
        <v>Plan</v>
      </c>
      <c r="C22" s="229">
        <f>IF(C18=1,txt!B258,0)</f>
        <v>0</v>
      </c>
      <c r="D22" s="201"/>
      <c r="E22" s="227">
        <f>'11hEX'!A$25</f>
        <v>0</v>
      </c>
      <c r="F22" s="210" t="str">
        <f>'11hEX'!D$25</f>
        <v/>
      </c>
      <c r="G22" s="79">
        <f t="shared" si="0"/>
        <v>0</v>
      </c>
      <c r="H22" s="79">
        <f t="shared" si="1"/>
        <v>0</v>
      </c>
      <c r="I22" s="196">
        <f>'11hEX'!C$25</f>
        <v>0</v>
      </c>
      <c r="J22" s="210">
        <f>'11hEX'!E$25</f>
        <v>0</v>
      </c>
      <c r="K22" s="210">
        <f>'11hEX'!F$25</f>
        <v>0</v>
      </c>
      <c r="L22" s="196">
        <f>'11hEX'!H31</f>
        <v>0</v>
      </c>
      <c r="M22" s="196">
        <f>'11hEX'!I$21</f>
        <v>0</v>
      </c>
      <c r="N22" s="201"/>
      <c r="O22" s="201"/>
      <c r="P22" s="201"/>
      <c r="Q22" s="201"/>
      <c r="R22" s="201"/>
      <c r="S22" s="201"/>
    </row>
    <row r="23" spans="1:19">
      <c r="A23" s="191" t="s">
        <v>591</v>
      </c>
      <c r="B23" s="79" t="str">
        <f>B13</f>
        <v>Build</v>
      </c>
      <c r="C23" s="133">
        <f>C18</f>
        <v>0</v>
      </c>
      <c r="D23" s="201"/>
      <c r="E23" s="227" t="str">
        <f>'11hEX'!A$30</f>
        <v>z.B. Junior (Erste IT-Kenntnisse)</v>
      </c>
      <c r="F23" s="210">
        <f>'11hEX'!D$30</f>
        <v>0</v>
      </c>
      <c r="G23" s="79">
        <f t="shared" si="0"/>
        <v>0</v>
      </c>
      <c r="H23" s="79">
        <f t="shared" si="1"/>
        <v>0</v>
      </c>
      <c r="I23" s="196">
        <f>'11hEX'!C$30</f>
        <v>0</v>
      </c>
      <c r="J23" s="210">
        <f>'11hEX'!E$30</f>
        <v>0</v>
      </c>
      <c r="K23" s="210">
        <f>'11hEX'!F$30</f>
        <v>0</v>
      </c>
      <c r="L23" s="196">
        <f>'11hEX'!H40</f>
        <v>0</v>
      </c>
      <c r="M23" s="196">
        <f>'11hEX'!I$30</f>
        <v>0</v>
      </c>
      <c r="N23" s="201"/>
      <c r="O23" s="201"/>
      <c r="P23" s="201"/>
      <c r="Q23" s="201"/>
      <c r="R23" s="201"/>
      <c r="S23" s="201"/>
    </row>
    <row r="24" spans="1:19">
      <c r="A24" s="191"/>
      <c r="B24" s="79" t="str">
        <f t="shared" ref="B24:B27" si="4">B23</f>
        <v>Build</v>
      </c>
      <c r="C24" s="199">
        <f>IF(C23=1,txt!B258,0)</f>
        <v>0</v>
      </c>
      <c r="D24" s="201"/>
      <c r="E24" s="227" t="str">
        <f>'11hEX'!A$32</f>
        <v>z.B. Professional (3 oder mehr Jahre Berufserfahrung)</v>
      </c>
      <c r="F24" s="210" t="str">
        <f>'11hEX'!D$32</f>
        <v/>
      </c>
      <c r="G24" s="79">
        <f t="shared" si="0"/>
        <v>0</v>
      </c>
      <c r="H24" s="79">
        <f t="shared" si="1"/>
        <v>0</v>
      </c>
      <c r="I24" s="196">
        <f>'11hEX'!C$32</f>
        <v>0</v>
      </c>
      <c r="J24" s="210">
        <f>'11hEX'!E$32</f>
        <v>0</v>
      </c>
      <c r="K24" s="210">
        <f>'11hEX'!F$32</f>
        <v>0</v>
      </c>
      <c r="L24" s="196">
        <f>'11hEX'!H42</f>
        <v>0</v>
      </c>
      <c r="M24" s="196">
        <f>'11hEX'!I$32</f>
        <v>0</v>
      </c>
      <c r="N24" s="201"/>
      <c r="O24" s="201"/>
      <c r="P24" s="201"/>
      <c r="Q24" s="201"/>
      <c r="R24" s="201"/>
      <c r="S24" s="201"/>
    </row>
    <row r="25" spans="1:19">
      <c r="A25" s="191"/>
      <c r="B25" s="79" t="str">
        <f t="shared" si="4"/>
        <v>Build</v>
      </c>
      <c r="C25" s="199">
        <f>IF(C23=1,txt!B258,0)</f>
        <v>0</v>
      </c>
      <c r="D25" s="201"/>
      <c r="E25" s="227" t="str">
        <f>'11hEX'!A$34</f>
        <v>z.B. Senior (5 oder mehr Jahre Berufserfahrung)</v>
      </c>
      <c r="F25" s="210" t="str">
        <f>'11hEX'!D$34</f>
        <v/>
      </c>
      <c r="G25" s="79">
        <f t="shared" si="0"/>
        <v>0</v>
      </c>
      <c r="H25" s="79">
        <f t="shared" si="1"/>
        <v>0</v>
      </c>
      <c r="I25" s="196">
        <f>'11hEX'!C$34</f>
        <v>0</v>
      </c>
      <c r="J25" s="210">
        <f>'11hEX'!E$34</f>
        <v>0</v>
      </c>
      <c r="K25" s="210">
        <f>'11hEX'!F$34</f>
        <v>0</v>
      </c>
      <c r="L25" s="196">
        <f>'11hEX'!H44</f>
        <v>0</v>
      </c>
      <c r="M25" s="196">
        <f>'11hEX'!I$34</f>
        <v>0</v>
      </c>
      <c r="N25" s="201"/>
      <c r="O25" s="201"/>
      <c r="P25" s="201"/>
      <c r="Q25" s="201"/>
      <c r="R25" s="201"/>
      <c r="S25" s="201"/>
    </row>
    <row r="26" spans="1:19">
      <c r="A26" s="191"/>
      <c r="B26" s="79" t="str">
        <f t="shared" si="4"/>
        <v>Build</v>
      </c>
      <c r="C26" s="199">
        <f>IF(C23=1,txt!B258,0)</f>
        <v>0</v>
      </c>
      <c r="D26" s="201"/>
      <c r="E26" s="227">
        <f>'11hEX'!A$36</f>
        <v>0</v>
      </c>
      <c r="F26" s="210" t="str">
        <f>'11hEX'!D$36</f>
        <v/>
      </c>
      <c r="G26" s="79">
        <f t="shared" si="0"/>
        <v>0</v>
      </c>
      <c r="H26" s="79">
        <f t="shared" si="1"/>
        <v>0</v>
      </c>
      <c r="I26" s="196">
        <f>'11hEX'!C$36</f>
        <v>0</v>
      </c>
      <c r="J26" s="210">
        <f>'11hEX'!E$36</f>
        <v>0</v>
      </c>
      <c r="K26" s="210">
        <f>'11hEX'!F$36</f>
        <v>0</v>
      </c>
      <c r="L26" s="196">
        <f>'11hEX'!H46</f>
        <v>0</v>
      </c>
      <c r="M26" s="196">
        <f>'11hEX'!I$36</f>
        <v>0</v>
      </c>
      <c r="N26" s="201"/>
      <c r="O26" s="201"/>
      <c r="P26" s="201"/>
      <c r="Q26" s="201"/>
      <c r="R26" s="201"/>
      <c r="S26" s="201"/>
    </row>
    <row r="27" spans="1:19">
      <c r="A27" s="191"/>
      <c r="B27" s="79" t="str">
        <f t="shared" si="4"/>
        <v>Build</v>
      </c>
      <c r="C27" s="199">
        <f>IF(C23=1,txt!B258,0)</f>
        <v>0</v>
      </c>
      <c r="D27" s="201"/>
      <c r="E27" s="227">
        <f>'11hEX'!A$38</f>
        <v>0</v>
      </c>
      <c r="F27" s="210" t="str">
        <f>'11hEX'!D$38</f>
        <v/>
      </c>
      <c r="G27" s="79">
        <f t="shared" si="0"/>
        <v>0</v>
      </c>
      <c r="H27" s="79">
        <f t="shared" si="1"/>
        <v>0</v>
      </c>
      <c r="I27" s="196">
        <f>'11hEX'!C$38</f>
        <v>0</v>
      </c>
      <c r="J27" s="210">
        <f>'11hEX'!E$38</f>
        <v>0</v>
      </c>
      <c r="K27" s="210">
        <f>'11hEX'!F$38</f>
        <v>0</v>
      </c>
      <c r="L27" s="196">
        <f>'11hEX'!H48</f>
        <v>0</v>
      </c>
      <c r="M27" s="196">
        <f>'11hEX'!I$38</f>
        <v>0</v>
      </c>
      <c r="N27" s="201"/>
      <c r="O27" s="201"/>
      <c r="P27" s="201"/>
      <c r="Q27" s="201"/>
      <c r="R27" s="201"/>
      <c r="S27" s="201"/>
    </row>
    <row r="28" spans="1:19">
      <c r="A28" s="191" t="s">
        <v>283</v>
      </c>
      <c r="B28" s="79" t="str">
        <f>txt!B149</f>
        <v>Durchschnittliche Lizenzgebühr bei einem Ersterwerb</v>
      </c>
      <c r="C28" s="79">
        <f>Steuerung!A2*Steuerung!B8*Steuerung!C9</f>
        <v>0</v>
      </c>
      <c r="D28" s="197">
        <f>'0'!$D$11*'0'!$D$16*'1'!$C$15*(1-'1'!$E$15)</f>
        <v>0</v>
      </c>
      <c r="E28" s="208">
        <f>'12l'!A12</f>
        <v>0</v>
      </c>
      <c r="F28" s="201"/>
      <c r="G28" s="79">
        <f>'12l'!D18</f>
        <v>0</v>
      </c>
      <c r="H28" s="79">
        <f>'12l'!E18</f>
        <v>0</v>
      </c>
      <c r="I28" s="201"/>
      <c r="J28" s="201"/>
      <c r="K28" s="201"/>
      <c r="L28" s="201"/>
      <c r="M28" s="201"/>
      <c r="N28" s="201"/>
      <c r="O28" s="201"/>
      <c r="P28" s="201"/>
      <c r="Q28" s="79">
        <f>'12l'!A34</f>
        <v>0</v>
      </c>
      <c r="R28" s="79">
        <f>'12l'!E28</f>
        <v>0</v>
      </c>
      <c r="S28" s="79">
        <f>'12l'!A31</f>
        <v>0</v>
      </c>
    </row>
    <row r="29" spans="1:19">
      <c r="A29" s="191"/>
      <c r="B29" s="79" t="str">
        <f>txt!B150</f>
        <v>Recurring Fee (prozentualer Anteil im Vergleich zu dem  Ersterwerb der Software)</v>
      </c>
      <c r="C29" s="199">
        <f>IF(C28=1,txt!B258,0)</f>
        <v>0</v>
      </c>
      <c r="D29" s="225"/>
      <c r="E29" s="228"/>
      <c r="F29" s="201"/>
      <c r="G29" s="79">
        <f>'12l'!D20</f>
        <v>0</v>
      </c>
      <c r="H29" s="79">
        <f>'12l'!E20</f>
        <v>0</v>
      </c>
      <c r="I29" s="201"/>
      <c r="J29" s="201"/>
      <c r="K29" s="201"/>
      <c r="L29" s="201"/>
      <c r="M29" s="201"/>
      <c r="N29" s="201"/>
      <c r="O29" s="201"/>
      <c r="P29" s="201"/>
      <c r="Q29" s="201"/>
      <c r="R29" s="201"/>
      <c r="S29" s="201"/>
    </row>
    <row r="30" spans="1:19">
      <c r="A30" s="191"/>
      <c r="B30" s="79" t="str">
        <f>B28</f>
        <v>Durchschnittliche Lizenzgebühr bei einem Ersterwerb</v>
      </c>
      <c r="C30" s="79">
        <f>Steuerung!A2*Steuerung!B8*Steuerung!C9*Steuerung!E9</f>
        <v>0</v>
      </c>
      <c r="D30" s="197">
        <f>'0'!$D$11*'0'!$D$16*'1'!$C$15*'1'!$E$15</f>
        <v>0</v>
      </c>
      <c r="E30" s="228"/>
      <c r="F30" s="79" t="str">
        <f>'12l'!G18</f>
        <v>CHF</v>
      </c>
      <c r="G30" s="195">
        <f>'12l'!H18</f>
        <v>0</v>
      </c>
      <c r="H30" s="195">
        <f>'12l'!I18</f>
        <v>0</v>
      </c>
      <c r="I30" s="201"/>
      <c r="J30" s="201"/>
      <c r="K30" s="201"/>
      <c r="L30" s="201"/>
      <c r="M30" s="201"/>
      <c r="N30" s="201"/>
      <c r="O30" s="201"/>
      <c r="P30" s="201"/>
      <c r="Q30" s="201"/>
      <c r="R30" s="195">
        <f>'12l'!I28</f>
        <v>0</v>
      </c>
      <c r="S30" s="201"/>
    </row>
    <row r="31" spans="1:19">
      <c r="A31" s="191"/>
      <c r="B31" s="79" t="str">
        <f>B29</f>
        <v>Recurring Fee (prozentualer Anteil im Vergleich zu dem  Ersterwerb der Software)</v>
      </c>
      <c r="C31" s="199">
        <f>IF(C30=1,txt!B258,0)</f>
        <v>0</v>
      </c>
      <c r="D31" s="225"/>
      <c r="E31" s="228"/>
      <c r="F31" s="201"/>
      <c r="G31" s="195">
        <f>'12l'!H20</f>
        <v>0</v>
      </c>
      <c r="H31" s="195">
        <f>'12l'!I20</f>
        <v>0</v>
      </c>
      <c r="I31" s="201"/>
      <c r="J31" s="201"/>
      <c r="K31" s="201"/>
      <c r="L31" s="201"/>
      <c r="M31" s="201"/>
      <c r="N31" s="201"/>
      <c r="O31" s="201"/>
      <c r="P31" s="201"/>
      <c r="Q31" s="201"/>
      <c r="R31" s="201"/>
      <c r="S31" s="201"/>
    </row>
    <row r="32" spans="1:19">
      <c r="A32" s="192" t="s">
        <v>597</v>
      </c>
      <c r="B32" s="79" t="str">
        <f>txt!B107</f>
        <v>Plan</v>
      </c>
      <c r="C32" s="79">
        <f>Steuerung!A12*Steuerung!B13*Steuerung!C14</f>
        <v>0</v>
      </c>
      <c r="D32" s="210">
        <f>'0'!$D$11*'0'!$D$18*'2'!$C$13*(1-'2'!$E$13)</f>
        <v>0</v>
      </c>
      <c r="E32" s="227" t="str">
        <f>'21hCH'!A$17</f>
        <v>z.B. Junior (Erste IT-Kenntnisse)</v>
      </c>
      <c r="F32" s="201"/>
      <c r="G32" s="79">
        <f t="shared" ref="G32:G71" si="5">J32*(1-L32)</f>
        <v>0</v>
      </c>
      <c r="H32" s="79">
        <f t="shared" ref="H32:H71" si="6">K32*(1-M32)</f>
        <v>0</v>
      </c>
      <c r="I32" s="196">
        <f>'21hCH'!C$17</f>
        <v>0</v>
      </c>
      <c r="J32" s="210">
        <f>'21hCH'!E$17</f>
        <v>0</v>
      </c>
      <c r="K32" s="210">
        <f>'21hCH'!F$17</f>
        <v>0</v>
      </c>
      <c r="L32" s="210">
        <f>'21hCH'!H$17</f>
        <v>0</v>
      </c>
      <c r="M32" s="210">
        <f>'21hCH'!I$17</f>
        <v>0</v>
      </c>
      <c r="N32" s="201"/>
      <c r="O32" s="201"/>
      <c r="P32" s="201"/>
      <c r="Q32" s="79">
        <f>'11hCH'!A$50</f>
        <v>0</v>
      </c>
      <c r="R32" s="201"/>
      <c r="S32" s="201"/>
    </row>
    <row r="33" spans="1:19">
      <c r="A33" s="192"/>
      <c r="B33" s="79" t="str">
        <f t="shared" ref="B33:B36" si="7">B32</f>
        <v>Plan</v>
      </c>
      <c r="C33" s="199">
        <f>IF(C32=1,txt!B258,0)</f>
        <v>0</v>
      </c>
      <c r="D33" s="201"/>
      <c r="E33" s="227" t="str">
        <f>'21hCH'!A$19</f>
        <v>z.B. Professional (3 oder mehr Jahre Berufserfahrung)</v>
      </c>
      <c r="F33" s="201"/>
      <c r="G33" s="79">
        <f t="shared" si="5"/>
        <v>0</v>
      </c>
      <c r="H33" s="79">
        <f t="shared" si="6"/>
        <v>0</v>
      </c>
      <c r="I33" s="196">
        <f>'21hCH'!C$19</f>
        <v>0</v>
      </c>
      <c r="J33" s="210">
        <f>'21hCH'!E$19</f>
        <v>0</v>
      </c>
      <c r="K33" s="210">
        <f>'21hCH'!F$19</f>
        <v>0</v>
      </c>
      <c r="L33" s="210">
        <f>'21hCH'!H$19</f>
        <v>0</v>
      </c>
      <c r="M33" s="210">
        <f>'21hCH'!I$19</f>
        <v>0</v>
      </c>
      <c r="N33" s="201"/>
      <c r="O33" s="201"/>
      <c r="P33" s="201"/>
      <c r="Q33" s="201"/>
      <c r="R33" s="201"/>
      <c r="S33" s="201"/>
    </row>
    <row r="34" spans="1:19">
      <c r="A34" s="192"/>
      <c r="B34" s="79" t="str">
        <f t="shared" si="7"/>
        <v>Plan</v>
      </c>
      <c r="C34" s="199">
        <f>IF(C32=1,txt!B258,0)</f>
        <v>0</v>
      </c>
      <c r="D34" s="201"/>
      <c r="E34" s="227" t="str">
        <f>'21hCH'!A$21</f>
        <v>z.B. Senior (5 oder mehr Jahre Berufserfahrung)</v>
      </c>
      <c r="F34" s="201"/>
      <c r="G34" s="79">
        <f t="shared" si="5"/>
        <v>0</v>
      </c>
      <c r="H34" s="79">
        <f t="shared" si="6"/>
        <v>0</v>
      </c>
      <c r="I34" s="196">
        <f>'21hCH'!C$21</f>
        <v>0</v>
      </c>
      <c r="J34" s="210">
        <f>'21hCH'!E$21</f>
        <v>0</v>
      </c>
      <c r="K34" s="210">
        <f>'21hCH'!F$21</f>
        <v>0</v>
      </c>
      <c r="L34" s="210">
        <f>'21hCH'!H$21</f>
        <v>0</v>
      </c>
      <c r="M34" s="210">
        <f>'21hCH'!I$21</f>
        <v>0</v>
      </c>
      <c r="N34" s="201"/>
      <c r="O34" s="201"/>
      <c r="P34" s="201"/>
      <c r="Q34" s="201"/>
      <c r="R34" s="201"/>
      <c r="S34" s="201"/>
    </row>
    <row r="35" spans="1:19">
      <c r="A35" s="192"/>
      <c r="B35" s="79" t="str">
        <f t="shared" si="7"/>
        <v>Plan</v>
      </c>
      <c r="C35" s="199">
        <f>IF(C32=1,txt!B258,0)</f>
        <v>0</v>
      </c>
      <c r="D35" s="201"/>
      <c r="E35" s="227">
        <f>'21hCH'!A$23</f>
        <v>0</v>
      </c>
      <c r="F35" s="201"/>
      <c r="G35" s="79">
        <f t="shared" si="5"/>
        <v>0</v>
      </c>
      <c r="H35" s="79">
        <f t="shared" si="6"/>
        <v>0</v>
      </c>
      <c r="I35" s="196">
        <f>'21hCH'!C$23</f>
        <v>0</v>
      </c>
      <c r="J35" s="210">
        <f>'21hCH'!E$23</f>
        <v>0</v>
      </c>
      <c r="K35" s="210">
        <f>'21hCH'!F$23</f>
        <v>0</v>
      </c>
      <c r="L35" s="210">
        <f>'21hCH'!H$23</f>
        <v>0</v>
      </c>
      <c r="M35" s="210">
        <f>'21hCH'!I$23</f>
        <v>0</v>
      </c>
      <c r="N35" s="201"/>
      <c r="O35" s="201"/>
      <c r="P35" s="201"/>
      <c r="Q35" s="201"/>
      <c r="R35" s="201"/>
      <c r="S35" s="201"/>
    </row>
    <row r="36" spans="1:19">
      <c r="A36" s="192"/>
      <c r="B36" s="79" t="str">
        <f t="shared" si="7"/>
        <v>Plan</v>
      </c>
      <c r="C36" s="199">
        <f>IF(C32=1,txt!B258,0)</f>
        <v>0</v>
      </c>
      <c r="D36" s="201"/>
      <c r="E36" s="227">
        <f>'21hCH'!A$25</f>
        <v>0</v>
      </c>
      <c r="F36" s="201"/>
      <c r="G36" s="79">
        <f t="shared" si="5"/>
        <v>0</v>
      </c>
      <c r="H36" s="79">
        <f t="shared" si="6"/>
        <v>0</v>
      </c>
      <c r="I36" s="196">
        <f>'21hCH'!C$25</f>
        <v>0</v>
      </c>
      <c r="J36" s="210">
        <f>'21hCH'!E$25</f>
        <v>0</v>
      </c>
      <c r="K36" s="210">
        <f>'21hCH'!F$25</f>
        <v>0</v>
      </c>
      <c r="L36" s="210">
        <f>'21hCH'!H$25</f>
        <v>0</v>
      </c>
      <c r="M36" s="210">
        <f>'21hCH'!I$25</f>
        <v>0</v>
      </c>
      <c r="N36" s="201"/>
      <c r="O36" s="201"/>
      <c r="P36" s="201"/>
      <c r="Q36" s="201"/>
      <c r="R36" s="201"/>
      <c r="S36" s="201"/>
    </row>
    <row r="37" spans="1:19">
      <c r="A37" s="192"/>
      <c r="B37" s="79" t="str">
        <f>txt!B109</f>
        <v>Build</v>
      </c>
      <c r="C37" s="79">
        <f>C32</f>
        <v>0</v>
      </c>
      <c r="D37" s="201"/>
      <c r="E37" s="227" t="str">
        <f>'21hCH'!A$30</f>
        <v>z.B. Junior (Erste IT-Kenntnisse)</v>
      </c>
      <c r="F37" s="201"/>
      <c r="G37" s="79">
        <f t="shared" si="5"/>
        <v>0</v>
      </c>
      <c r="H37" s="79">
        <f t="shared" si="6"/>
        <v>0</v>
      </c>
      <c r="I37" s="196">
        <f>'21hCH'!C$30</f>
        <v>0</v>
      </c>
      <c r="J37" s="210">
        <f>'21hCH'!E$30</f>
        <v>0</v>
      </c>
      <c r="K37" s="210">
        <f>'21hCH'!F$30</f>
        <v>0</v>
      </c>
      <c r="L37" s="210">
        <f>'21hCH'!H$30</f>
        <v>0</v>
      </c>
      <c r="M37" s="210">
        <f>'21hCH'!I$30</f>
        <v>0</v>
      </c>
      <c r="N37" s="201"/>
      <c r="O37" s="201"/>
      <c r="P37" s="201"/>
      <c r="Q37" s="201"/>
      <c r="R37" s="201"/>
      <c r="S37" s="201"/>
    </row>
    <row r="38" spans="1:19">
      <c r="A38" s="192"/>
      <c r="B38" s="79" t="str">
        <f t="shared" ref="B38:B41" si="8">B37</f>
        <v>Build</v>
      </c>
      <c r="C38" s="199">
        <f>IF(C37=1,txt!B258,0)</f>
        <v>0</v>
      </c>
      <c r="D38" s="201"/>
      <c r="E38" s="227" t="str">
        <f>'21hCH'!A$32</f>
        <v>z.B. Professional (3 oder mehr Jahre Berufserfahrung)</v>
      </c>
      <c r="F38" s="201"/>
      <c r="G38" s="79">
        <f t="shared" si="5"/>
        <v>0</v>
      </c>
      <c r="H38" s="79">
        <f t="shared" si="6"/>
        <v>0</v>
      </c>
      <c r="I38" s="196">
        <f>'21hCH'!C$32</f>
        <v>0</v>
      </c>
      <c r="J38" s="210">
        <f>'21hCH'!E$32</f>
        <v>0</v>
      </c>
      <c r="K38" s="210">
        <f>'21hCH'!F$32</f>
        <v>0</v>
      </c>
      <c r="L38" s="210">
        <f>'21hCH'!H$32</f>
        <v>0</v>
      </c>
      <c r="M38" s="210">
        <f>'21hCH'!I$32</f>
        <v>0</v>
      </c>
      <c r="N38" s="201"/>
      <c r="O38" s="201"/>
      <c r="P38" s="201"/>
      <c r="Q38" s="201"/>
      <c r="R38" s="201"/>
      <c r="S38" s="201"/>
    </row>
    <row r="39" spans="1:19">
      <c r="A39" s="192"/>
      <c r="B39" s="79" t="str">
        <f t="shared" si="8"/>
        <v>Build</v>
      </c>
      <c r="C39" s="199">
        <f>IF(C37=1,txt!B258,0)</f>
        <v>0</v>
      </c>
      <c r="D39" s="201"/>
      <c r="E39" s="227" t="str">
        <f>'21hCH'!A$34</f>
        <v>z.B. Senior (5 oder mehr Jahre Berufserfahrung)</v>
      </c>
      <c r="F39" s="201"/>
      <c r="G39" s="79">
        <f t="shared" si="5"/>
        <v>0</v>
      </c>
      <c r="H39" s="79">
        <f t="shared" si="6"/>
        <v>0</v>
      </c>
      <c r="I39" s="196">
        <f>'21hCH'!C$34</f>
        <v>0</v>
      </c>
      <c r="J39" s="210">
        <f>'21hCH'!E$34</f>
        <v>0</v>
      </c>
      <c r="K39" s="210">
        <f>'21hCH'!F$34</f>
        <v>0</v>
      </c>
      <c r="L39" s="210">
        <f>'21hCH'!H$34</f>
        <v>0</v>
      </c>
      <c r="M39" s="210">
        <f>'21hCH'!I$34</f>
        <v>0</v>
      </c>
      <c r="N39" s="201"/>
      <c r="O39" s="201"/>
      <c r="P39" s="201"/>
      <c r="Q39" s="201"/>
      <c r="R39" s="201"/>
      <c r="S39" s="201"/>
    </row>
    <row r="40" spans="1:19">
      <c r="A40" s="192"/>
      <c r="B40" s="79" t="str">
        <f t="shared" si="8"/>
        <v>Build</v>
      </c>
      <c r="C40" s="199">
        <f>IF(C37=1,txt!B258,0)</f>
        <v>0</v>
      </c>
      <c r="D40" s="201"/>
      <c r="E40" s="227">
        <f>'21hCH'!A$36</f>
        <v>0</v>
      </c>
      <c r="F40" s="201"/>
      <c r="G40" s="79">
        <f t="shared" si="5"/>
        <v>0</v>
      </c>
      <c r="H40" s="79">
        <f t="shared" si="6"/>
        <v>0</v>
      </c>
      <c r="I40" s="196">
        <f>'21hCH'!C$36</f>
        <v>0</v>
      </c>
      <c r="J40" s="210">
        <f>'21hCH'!E$36</f>
        <v>0</v>
      </c>
      <c r="K40" s="210">
        <f>'21hCH'!F$36</f>
        <v>0</v>
      </c>
      <c r="L40" s="210">
        <f>'21hCH'!H$36</f>
        <v>0</v>
      </c>
      <c r="M40" s="210">
        <f>'21hCH'!I$36</f>
        <v>0</v>
      </c>
      <c r="N40" s="201"/>
      <c r="O40" s="201"/>
      <c r="P40" s="201"/>
      <c r="Q40" s="201"/>
      <c r="R40" s="201"/>
      <c r="S40" s="201"/>
    </row>
    <row r="41" spans="1:19">
      <c r="A41" s="192"/>
      <c r="B41" s="79" t="str">
        <f t="shared" si="8"/>
        <v>Build</v>
      </c>
      <c r="C41" s="199">
        <f>IF(C37=1,txt!B258,0)</f>
        <v>0</v>
      </c>
      <c r="D41" s="201"/>
      <c r="E41" s="227">
        <f>'21hCH'!A$38</f>
        <v>0</v>
      </c>
      <c r="F41" s="201"/>
      <c r="G41" s="79">
        <f t="shared" si="5"/>
        <v>0</v>
      </c>
      <c r="H41" s="79">
        <f t="shared" si="6"/>
        <v>0</v>
      </c>
      <c r="I41" s="196">
        <f>'21hCH'!C$38</f>
        <v>0</v>
      </c>
      <c r="J41" s="210">
        <f>'21hCH'!E$38</f>
        <v>0</v>
      </c>
      <c r="K41" s="210">
        <f>'21hCH'!F$38</f>
        <v>0</v>
      </c>
      <c r="L41" s="210">
        <f>'21hCH'!H$38</f>
        <v>0</v>
      </c>
      <c r="M41" s="210">
        <f>'21hCH'!I$38</f>
        <v>0</v>
      </c>
      <c r="N41" s="201"/>
      <c r="O41" s="201"/>
      <c r="P41" s="201"/>
      <c r="Q41" s="201"/>
      <c r="R41" s="201"/>
      <c r="S41" s="201"/>
    </row>
    <row r="42" spans="1:19">
      <c r="A42" s="192" t="s">
        <v>598</v>
      </c>
      <c r="B42" s="79" t="str">
        <f>B32</f>
        <v>Plan</v>
      </c>
      <c r="C42" s="79">
        <f>Steuerung!A12*Steuerung!B13*Steuerung!C14*Steuerung!E14</f>
        <v>0</v>
      </c>
      <c r="D42" s="210">
        <f>'0'!$D$11*'0'!$D$18*'2'!$C$13*'2'!$E$13</f>
        <v>0</v>
      </c>
      <c r="E42" s="227" t="str">
        <f>'21hEX'!A$17</f>
        <v>z.B. Junior (Erste IT-Kenntnisse)</v>
      </c>
      <c r="F42" s="210">
        <f>'21hEX'!D$17</f>
        <v>0</v>
      </c>
      <c r="G42" s="79">
        <f t="shared" si="5"/>
        <v>0</v>
      </c>
      <c r="H42" s="79">
        <f t="shared" si="6"/>
        <v>0</v>
      </c>
      <c r="I42" s="196">
        <f>'21hEX'!C$17</f>
        <v>0</v>
      </c>
      <c r="J42" s="210">
        <f>'21hEX'!E$17</f>
        <v>0</v>
      </c>
      <c r="K42" s="210">
        <f>'21hEX'!F$17</f>
        <v>0</v>
      </c>
      <c r="L42" s="210">
        <f>'21hEX'!H$17</f>
        <v>0</v>
      </c>
      <c r="M42" s="210">
        <f>'21hEX'!I$17</f>
        <v>0</v>
      </c>
      <c r="N42" s="201"/>
      <c r="O42" s="201"/>
      <c r="P42" s="201"/>
      <c r="Q42" s="79">
        <f>'21hEX'!A$50</f>
        <v>0</v>
      </c>
      <c r="R42" s="201"/>
      <c r="S42" s="201"/>
    </row>
    <row r="43" spans="1:19">
      <c r="A43" s="192"/>
      <c r="B43" s="79" t="str">
        <f t="shared" ref="B43:B46" si="9">B42</f>
        <v>Plan</v>
      </c>
      <c r="C43" s="199">
        <f>IF(C42=1,txt!B258,0)</f>
        <v>0</v>
      </c>
      <c r="D43" s="201"/>
      <c r="E43" s="227" t="str">
        <f>'21hEX'!A$19</f>
        <v>z.B. Professional (3 oder mehr Jahre Berufserfahrung)</v>
      </c>
      <c r="F43" s="210" t="str">
        <f>'21hEX'!D$19</f>
        <v/>
      </c>
      <c r="G43" s="79">
        <f t="shared" si="5"/>
        <v>0</v>
      </c>
      <c r="H43" s="79">
        <f t="shared" si="6"/>
        <v>0</v>
      </c>
      <c r="I43" s="196">
        <f>'21hEX'!C$19</f>
        <v>0</v>
      </c>
      <c r="J43" s="210">
        <f>'21hEX'!E$19</f>
        <v>0</v>
      </c>
      <c r="K43" s="210">
        <f>'21hEX'!F$19</f>
        <v>0</v>
      </c>
      <c r="L43" s="210">
        <f>'21hEX'!H$19</f>
        <v>0</v>
      </c>
      <c r="M43" s="210">
        <f>'21hEX'!I$19</f>
        <v>0</v>
      </c>
      <c r="N43" s="201"/>
      <c r="O43" s="201"/>
      <c r="P43" s="201"/>
      <c r="Q43" s="201"/>
      <c r="R43" s="201"/>
      <c r="S43" s="201"/>
    </row>
    <row r="44" spans="1:19">
      <c r="A44" s="192"/>
      <c r="B44" s="79" t="str">
        <f t="shared" si="9"/>
        <v>Plan</v>
      </c>
      <c r="C44" s="199">
        <f>IF(C42=1,txt!B258,0)</f>
        <v>0</v>
      </c>
      <c r="D44" s="201"/>
      <c r="E44" s="227" t="str">
        <f>'21hEX'!A$21</f>
        <v>z.B. Senior (5 oder mehr Jahre Berufserfahrung)</v>
      </c>
      <c r="F44" s="210" t="str">
        <f>'21hEX'!D$21</f>
        <v/>
      </c>
      <c r="G44" s="79">
        <f t="shared" si="5"/>
        <v>0</v>
      </c>
      <c r="H44" s="79">
        <f t="shared" si="6"/>
        <v>0</v>
      </c>
      <c r="I44" s="196">
        <f>'21hEX'!C$21</f>
        <v>0</v>
      </c>
      <c r="J44" s="210">
        <f>'21hEX'!E$21</f>
        <v>0</v>
      </c>
      <c r="K44" s="210">
        <f>'21hEX'!F$21</f>
        <v>0</v>
      </c>
      <c r="L44" s="210">
        <f>'21hEX'!H$21</f>
        <v>0</v>
      </c>
      <c r="M44" s="210">
        <f>'21hEX'!I$21</f>
        <v>0</v>
      </c>
      <c r="N44" s="201"/>
      <c r="O44" s="201"/>
      <c r="P44" s="201"/>
      <c r="Q44" s="201"/>
      <c r="R44" s="201"/>
      <c r="S44" s="201"/>
    </row>
    <row r="45" spans="1:19">
      <c r="A45" s="192"/>
      <c r="B45" s="79" t="str">
        <f t="shared" si="9"/>
        <v>Plan</v>
      </c>
      <c r="C45" s="199">
        <f>IF(C42=1,txt!B258,0)</f>
        <v>0</v>
      </c>
      <c r="D45" s="201"/>
      <c r="E45" s="227">
        <f>'21hEX'!A$23</f>
        <v>0</v>
      </c>
      <c r="F45" s="210" t="str">
        <f>'21hEX'!D$23</f>
        <v/>
      </c>
      <c r="G45" s="79">
        <f t="shared" si="5"/>
        <v>0</v>
      </c>
      <c r="H45" s="79">
        <f t="shared" si="6"/>
        <v>0</v>
      </c>
      <c r="I45" s="196">
        <f>'21hEX'!C$23</f>
        <v>0</v>
      </c>
      <c r="J45" s="210">
        <f>'21hEX'!E$23</f>
        <v>0</v>
      </c>
      <c r="K45" s="210">
        <f>'21hEX'!F$23</f>
        <v>0</v>
      </c>
      <c r="L45" s="210">
        <f>'21hEX'!H$23</f>
        <v>0</v>
      </c>
      <c r="M45" s="210">
        <f>'21hEX'!I$23</f>
        <v>0</v>
      </c>
      <c r="N45" s="201"/>
      <c r="O45" s="201"/>
      <c r="P45" s="201"/>
      <c r="Q45" s="201"/>
      <c r="R45" s="201"/>
      <c r="S45" s="201"/>
    </row>
    <row r="46" spans="1:19">
      <c r="A46" s="192"/>
      <c r="B46" s="79" t="str">
        <f t="shared" si="9"/>
        <v>Plan</v>
      </c>
      <c r="C46" s="199">
        <f>IF(C42=1,txt!B258,0)</f>
        <v>0</v>
      </c>
      <c r="D46" s="201"/>
      <c r="E46" s="227">
        <f>'21hEX'!A$25</f>
        <v>0</v>
      </c>
      <c r="F46" s="210" t="str">
        <f>'21hEX'!D$25</f>
        <v/>
      </c>
      <c r="G46" s="79">
        <f t="shared" si="5"/>
        <v>0</v>
      </c>
      <c r="H46" s="79">
        <f t="shared" si="6"/>
        <v>0</v>
      </c>
      <c r="I46" s="196">
        <f>'21hEX'!C$25</f>
        <v>0</v>
      </c>
      <c r="J46" s="210">
        <f>'21hEX'!E$25</f>
        <v>0</v>
      </c>
      <c r="K46" s="210">
        <f>'21hEX'!F$25</f>
        <v>0</v>
      </c>
      <c r="L46" s="210">
        <f>'21hEX'!H$25</f>
        <v>0</v>
      </c>
      <c r="M46" s="210">
        <f>'21hEX'!I$25</f>
        <v>0</v>
      </c>
      <c r="N46" s="201"/>
      <c r="O46" s="201"/>
      <c r="P46" s="201"/>
      <c r="Q46" s="201"/>
      <c r="R46" s="201"/>
      <c r="S46" s="201"/>
    </row>
    <row r="47" spans="1:19">
      <c r="A47" s="192"/>
      <c r="B47" s="79" t="str">
        <f>B37</f>
        <v>Build</v>
      </c>
      <c r="C47" s="79">
        <f>C42</f>
        <v>0</v>
      </c>
      <c r="D47" s="201"/>
      <c r="E47" s="227" t="str">
        <f>'21hEX'!A$30</f>
        <v>z.B. Junior (Erste IT-Kenntnisse)</v>
      </c>
      <c r="F47" s="210">
        <f>'21hEX'!D$30</f>
        <v>0</v>
      </c>
      <c r="G47" s="79">
        <f t="shared" si="5"/>
        <v>0</v>
      </c>
      <c r="H47" s="79">
        <f t="shared" si="6"/>
        <v>0</v>
      </c>
      <c r="I47" s="196">
        <f>'21hEX'!C$30</f>
        <v>0</v>
      </c>
      <c r="J47" s="210">
        <f>'21hEX'!E$30</f>
        <v>0</v>
      </c>
      <c r="K47" s="210">
        <f>'21hEX'!F$30</f>
        <v>0</v>
      </c>
      <c r="L47" s="210">
        <f>'21hEX'!H$30</f>
        <v>0</v>
      </c>
      <c r="M47" s="210">
        <f>'21hEX'!I$30</f>
        <v>0</v>
      </c>
      <c r="N47" s="201"/>
      <c r="O47" s="201"/>
      <c r="P47" s="201"/>
      <c r="Q47" s="201"/>
      <c r="R47" s="201"/>
      <c r="S47" s="201"/>
    </row>
    <row r="48" spans="1:19">
      <c r="A48" s="192"/>
      <c r="B48" s="79" t="str">
        <f t="shared" ref="B48:B51" si="10">B47</f>
        <v>Build</v>
      </c>
      <c r="C48" s="199">
        <f>IF(C47=1,txt!B258,0)</f>
        <v>0</v>
      </c>
      <c r="D48" s="201"/>
      <c r="E48" s="227" t="str">
        <f>'21hEX'!A$32</f>
        <v>z.B. Professional (3 oder mehr Jahre Berufserfahrung)</v>
      </c>
      <c r="F48" s="210" t="str">
        <f>'21hEX'!D$32</f>
        <v/>
      </c>
      <c r="G48" s="79">
        <f t="shared" si="5"/>
        <v>0</v>
      </c>
      <c r="H48" s="79">
        <f t="shared" si="6"/>
        <v>0</v>
      </c>
      <c r="I48" s="196">
        <f>'21hEX'!C$32</f>
        <v>0</v>
      </c>
      <c r="J48" s="210">
        <f>'21hEX'!E$32</f>
        <v>0</v>
      </c>
      <c r="K48" s="210">
        <f>'21hEX'!F$32</f>
        <v>0</v>
      </c>
      <c r="L48" s="210">
        <f>'21hEX'!H$32</f>
        <v>0</v>
      </c>
      <c r="M48" s="210">
        <f>'21hEX'!I$32</f>
        <v>0</v>
      </c>
      <c r="N48" s="201"/>
      <c r="O48" s="201"/>
      <c r="P48" s="201"/>
      <c r="Q48" s="201"/>
      <c r="R48" s="201"/>
      <c r="S48" s="201"/>
    </row>
    <row r="49" spans="1:19">
      <c r="A49" s="192"/>
      <c r="B49" s="79" t="str">
        <f t="shared" si="10"/>
        <v>Build</v>
      </c>
      <c r="C49" s="199">
        <f>IF(C47=1,txt!B258,0)</f>
        <v>0</v>
      </c>
      <c r="D49" s="201"/>
      <c r="E49" s="227" t="str">
        <f>'21hEX'!A$34</f>
        <v>z.B. Senior (5 oder mehr Jahre Berufserfahrung)</v>
      </c>
      <c r="F49" s="210" t="str">
        <f>'21hEX'!D$34</f>
        <v/>
      </c>
      <c r="G49" s="79">
        <f t="shared" si="5"/>
        <v>0</v>
      </c>
      <c r="H49" s="79">
        <f t="shared" si="6"/>
        <v>0</v>
      </c>
      <c r="I49" s="196">
        <f>'21hEX'!C$34</f>
        <v>0</v>
      </c>
      <c r="J49" s="210">
        <f>'21hEX'!E$34</f>
        <v>0</v>
      </c>
      <c r="K49" s="210">
        <f>'21hEX'!F$34</f>
        <v>0</v>
      </c>
      <c r="L49" s="210">
        <f>'21hEX'!H$34</f>
        <v>0</v>
      </c>
      <c r="M49" s="210">
        <f>'21hEX'!I$34</f>
        <v>0</v>
      </c>
      <c r="N49" s="201"/>
      <c r="O49" s="201"/>
      <c r="P49" s="201"/>
      <c r="Q49" s="201"/>
      <c r="R49" s="201"/>
      <c r="S49" s="201"/>
    </row>
    <row r="50" spans="1:19">
      <c r="A50" s="192"/>
      <c r="B50" s="79" t="str">
        <f t="shared" si="10"/>
        <v>Build</v>
      </c>
      <c r="C50" s="199">
        <f>IF(C47=1,txt!B258,0)</f>
        <v>0</v>
      </c>
      <c r="D50" s="201"/>
      <c r="E50" s="227">
        <f>'21hEX'!A$36</f>
        <v>0</v>
      </c>
      <c r="F50" s="210" t="str">
        <f>'21hEX'!D$36</f>
        <v/>
      </c>
      <c r="G50" s="79">
        <f t="shared" si="5"/>
        <v>0</v>
      </c>
      <c r="H50" s="79">
        <f t="shared" si="6"/>
        <v>0</v>
      </c>
      <c r="I50" s="196">
        <f>'21hEX'!C$36</f>
        <v>0</v>
      </c>
      <c r="J50" s="210">
        <f>'21hEX'!E$36</f>
        <v>0</v>
      </c>
      <c r="K50" s="210">
        <f>'21hEX'!F$36</f>
        <v>0</v>
      </c>
      <c r="L50" s="210">
        <f>'21hEX'!H$36</f>
        <v>0</v>
      </c>
      <c r="M50" s="210">
        <f>'21hEX'!I$36</f>
        <v>0</v>
      </c>
      <c r="N50" s="201"/>
      <c r="O50" s="201"/>
      <c r="P50" s="201"/>
      <c r="Q50" s="201"/>
      <c r="R50" s="201"/>
      <c r="S50" s="201"/>
    </row>
    <row r="51" spans="1:19">
      <c r="A51" s="192"/>
      <c r="B51" s="79" t="str">
        <f t="shared" si="10"/>
        <v>Build</v>
      </c>
      <c r="C51" s="199">
        <f>IF(C47=1,txt!B258,0)</f>
        <v>0</v>
      </c>
      <c r="D51" s="201"/>
      <c r="E51" s="227">
        <f>'21hEX'!A$38</f>
        <v>0</v>
      </c>
      <c r="F51" s="210" t="str">
        <f>'21hEX'!D$38</f>
        <v/>
      </c>
      <c r="G51" s="79">
        <f t="shared" si="5"/>
        <v>0</v>
      </c>
      <c r="H51" s="79">
        <f t="shared" si="6"/>
        <v>0</v>
      </c>
      <c r="I51" s="196">
        <f>'21hEX'!C$38</f>
        <v>0</v>
      </c>
      <c r="J51" s="210">
        <f>'21hEX'!E$38</f>
        <v>0</v>
      </c>
      <c r="K51" s="210">
        <f>'21hEX'!F$38</f>
        <v>0</v>
      </c>
      <c r="L51" s="210">
        <f>'21hEX'!H$38</f>
        <v>0</v>
      </c>
      <c r="M51" s="210">
        <f>'21hEX'!I$38</f>
        <v>0</v>
      </c>
      <c r="N51" s="201"/>
      <c r="O51" s="201"/>
      <c r="P51" s="201"/>
      <c r="Q51" s="201"/>
      <c r="R51" s="201"/>
      <c r="S51" s="201"/>
    </row>
    <row r="52" spans="1:19">
      <c r="A52" s="192" t="s">
        <v>599</v>
      </c>
      <c r="B52" s="79" t="str">
        <f>txt!B107</f>
        <v>Plan</v>
      </c>
      <c r="C52" s="79">
        <f>Steuerung!A12*Steuerung!B17*Steuerung!C18</f>
        <v>0</v>
      </c>
      <c r="D52" s="210">
        <f>'0'!$D$11*'0'!$D$18*'2'!$C$15*(1-'2'!$E$15)</f>
        <v>0</v>
      </c>
      <c r="E52" s="227" t="str">
        <f>'22hCH'!A$17</f>
        <v>z.B. Junior (Erste IT-Kenntnisse)</v>
      </c>
      <c r="F52" s="201"/>
      <c r="G52" s="79">
        <f t="shared" si="5"/>
        <v>0</v>
      </c>
      <c r="H52" s="79">
        <f t="shared" si="6"/>
        <v>0</v>
      </c>
      <c r="I52" s="196">
        <f>'22hCH'!C$17</f>
        <v>0</v>
      </c>
      <c r="J52" s="210">
        <f>'22hCH'!E$17</f>
        <v>0</v>
      </c>
      <c r="K52" s="210">
        <f>'22hCH'!F$17</f>
        <v>0</v>
      </c>
      <c r="L52" s="210">
        <f>'22hCH'!H$17</f>
        <v>0</v>
      </c>
      <c r="M52" s="210">
        <f>'22hCH'!I$17</f>
        <v>0</v>
      </c>
      <c r="N52" s="201"/>
      <c r="O52" s="201"/>
      <c r="P52" s="201"/>
      <c r="Q52" s="79">
        <f>'11hCH'!A$50</f>
        <v>0</v>
      </c>
      <c r="R52" s="201"/>
      <c r="S52" s="201"/>
    </row>
    <row r="53" spans="1:19">
      <c r="A53" s="192"/>
      <c r="B53" s="79" t="str">
        <f t="shared" ref="B53:B56" si="11">B52</f>
        <v>Plan</v>
      </c>
      <c r="C53" s="199">
        <f>IF(C52=1,txt!B258,0)</f>
        <v>0</v>
      </c>
      <c r="D53" s="201"/>
      <c r="E53" s="227" t="str">
        <f>'22hCH'!A$19</f>
        <v>z.B. Professional (3 oder mehr Jahre Berufserfahrung)</v>
      </c>
      <c r="F53" s="201"/>
      <c r="G53" s="79">
        <f t="shared" si="5"/>
        <v>0</v>
      </c>
      <c r="H53" s="79">
        <f t="shared" si="6"/>
        <v>0</v>
      </c>
      <c r="I53" s="196">
        <f>'22hCH'!C$19</f>
        <v>0</v>
      </c>
      <c r="J53" s="210">
        <f>'22hCH'!E$19</f>
        <v>0</v>
      </c>
      <c r="K53" s="210">
        <f>'22hCH'!F$19</f>
        <v>0</v>
      </c>
      <c r="L53" s="210">
        <f>'22hCH'!H$19</f>
        <v>0</v>
      </c>
      <c r="M53" s="210">
        <f>'22hCH'!I$19</f>
        <v>0</v>
      </c>
      <c r="N53" s="201"/>
      <c r="O53" s="201"/>
      <c r="P53" s="201"/>
      <c r="Q53" s="201"/>
      <c r="R53" s="201"/>
      <c r="S53" s="201"/>
    </row>
    <row r="54" spans="1:19">
      <c r="A54" s="192"/>
      <c r="B54" s="79" t="str">
        <f t="shared" si="11"/>
        <v>Plan</v>
      </c>
      <c r="C54" s="199">
        <f>IF(C52=1,txt!B258,0)</f>
        <v>0</v>
      </c>
      <c r="D54" s="201"/>
      <c r="E54" s="227" t="str">
        <f>'22hCH'!A$21</f>
        <v>z.B. Senior (5 oder mehr Jahre Berufserfahrung)</v>
      </c>
      <c r="F54" s="201"/>
      <c r="G54" s="79">
        <f t="shared" si="5"/>
        <v>0</v>
      </c>
      <c r="H54" s="79">
        <f t="shared" si="6"/>
        <v>0</v>
      </c>
      <c r="I54" s="196">
        <f>'22hCH'!C$21</f>
        <v>0</v>
      </c>
      <c r="J54" s="210">
        <f>'22hCH'!E$21</f>
        <v>0</v>
      </c>
      <c r="K54" s="210">
        <f>'22hCH'!F$21</f>
        <v>0</v>
      </c>
      <c r="L54" s="210">
        <f>'22hCH'!H$21</f>
        <v>0</v>
      </c>
      <c r="M54" s="210">
        <f>'22hCH'!I$21</f>
        <v>0</v>
      </c>
      <c r="N54" s="201"/>
      <c r="O54" s="201"/>
      <c r="P54" s="201"/>
      <c r="Q54" s="201"/>
      <c r="R54" s="201"/>
      <c r="S54" s="201"/>
    </row>
    <row r="55" spans="1:19">
      <c r="A55" s="192"/>
      <c r="B55" s="79" t="str">
        <f t="shared" si="11"/>
        <v>Plan</v>
      </c>
      <c r="C55" s="199">
        <f>IF(C52=1,txt!B258,0)</f>
        <v>0</v>
      </c>
      <c r="D55" s="201"/>
      <c r="E55" s="227">
        <f>'22hCH'!A$23</f>
        <v>0</v>
      </c>
      <c r="F55" s="201"/>
      <c r="G55" s="79">
        <f t="shared" si="5"/>
        <v>0</v>
      </c>
      <c r="H55" s="79">
        <f t="shared" si="6"/>
        <v>0</v>
      </c>
      <c r="I55" s="196">
        <f>'22hCH'!C$23</f>
        <v>0</v>
      </c>
      <c r="J55" s="210">
        <f>'22hCH'!E$23</f>
        <v>0</v>
      </c>
      <c r="K55" s="210">
        <f>'22hCH'!F$23</f>
        <v>0</v>
      </c>
      <c r="L55" s="210">
        <f>'22hCH'!H$23</f>
        <v>0</v>
      </c>
      <c r="M55" s="210">
        <f>'22hCH'!I$23</f>
        <v>0</v>
      </c>
      <c r="N55" s="201"/>
      <c r="O55" s="201"/>
      <c r="P55" s="201"/>
      <c r="Q55" s="201"/>
      <c r="R55" s="201"/>
      <c r="S55" s="201"/>
    </row>
    <row r="56" spans="1:19">
      <c r="A56" s="192"/>
      <c r="B56" s="79" t="str">
        <f t="shared" si="11"/>
        <v>Plan</v>
      </c>
      <c r="C56" s="199">
        <f>IF(C52=1,txt!B258,0)</f>
        <v>0</v>
      </c>
      <c r="D56" s="201"/>
      <c r="E56" s="227">
        <f>'22hCH'!A$25</f>
        <v>0</v>
      </c>
      <c r="F56" s="201"/>
      <c r="G56" s="79">
        <f t="shared" si="5"/>
        <v>0</v>
      </c>
      <c r="H56" s="79">
        <f t="shared" si="6"/>
        <v>0</v>
      </c>
      <c r="I56" s="196">
        <f>'22hCH'!C$25</f>
        <v>0</v>
      </c>
      <c r="J56" s="210">
        <f>'22hCH'!E$25</f>
        <v>0</v>
      </c>
      <c r="K56" s="210">
        <f>'22hCH'!F$25</f>
        <v>0</v>
      </c>
      <c r="L56" s="210">
        <f>'22hCH'!H$25</f>
        <v>0</v>
      </c>
      <c r="M56" s="210">
        <f>'22hCH'!I$25</f>
        <v>0</v>
      </c>
      <c r="N56" s="201"/>
      <c r="O56" s="201"/>
      <c r="P56" s="201"/>
      <c r="Q56" s="201"/>
      <c r="R56" s="201"/>
      <c r="S56" s="201"/>
    </row>
    <row r="57" spans="1:19">
      <c r="A57" s="192"/>
      <c r="B57" s="79" t="str">
        <f>txt!B109</f>
        <v>Build</v>
      </c>
      <c r="C57" s="79">
        <f>C52</f>
        <v>0</v>
      </c>
      <c r="D57" s="201"/>
      <c r="E57" s="227" t="str">
        <f>'22hCH'!A$30</f>
        <v>z.B. Junior (Erste IT-Kenntnisse)</v>
      </c>
      <c r="F57" s="201"/>
      <c r="G57" s="79">
        <f t="shared" si="5"/>
        <v>0</v>
      </c>
      <c r="H57" s="79">
        <f t="shared" si="6"/>
        <v>0</v>
      </c>
      <c r="I57" s="196">
        <f>'22hCH'!C$30</f>
        <v>0</v>
      </c>
      <c r="J57" s="210">
        <f>'22hCH'!E$30</f>
        <v>0</v>
      </c>
      <c r="K57" s="210">
        <f>'22hCH'!F$30</f>
        <v>0</v>
      </c>
      <c r="L57" s="210">
        <f>'22hCH'!H$30</f>
        <v>0</v>
      </c>
      <c r="M57" s="210">
        <f>'22hCH'!I$30</f>
        <v>0</v>
      </c>
      <c r="N57" s="201"/>
      <c r="O57" s="201"/>
      <c r="P57" s="201"/>
      <c r="Q57" s="201"/>
      <c r="R57" s="201"/>
      <c r="S57" s="201"/>
    </row>
    <row r="58" spans="1:19">
      <c r="A58" s="192"/>
      <c r="B58" s="79" t="str">
        <f t="shared" ref="B58:B61" si="12">B57</f>
        <v>Build</v>
      </c>
      <c r="C58" s="199">
        <f>IF(C57=1,txt!B258,0)</f>
        <v>0</v>
      </c>
      <c r="D58" s="201"/>
      <c r="E58" s="227" t="str">
        <f>'22hCH'!A$32</f>
        <v>z.B. Professional (3 oder mehr Jahre Berufserfahrung)</v>
      </c>
      <c r="F58" s="201"/>
      <c r="G58" s="79">
        <f t="shared" si="5"/>
        <v>0</v>
      </c>
      <c r="H58" s="79">
        <f t="shared" si="6"/>
        <v>0</v>
      </c>
      <c r="I58" s="196">
        <f>'22hCH'!C$32</f>
        <v>0</v>
      </c>
      <c r="J58" s="210">
        <f>'22hCH'!E$32</f>
        <v>0</v>
      </c>
      <c r="K58" s="210">
        <f>'22hCH'!F$32</f>
        <v>0</v>
      </c>
      <c r="L58" s="210">
        <f>'22hCH'!H$32</f>
        <v>0</v>
      </c>
      <c r="M58" s="210">
        <f>'22hCH'!I$32</f>
        <v>0</v>
      </c>
      <c r="N58" s="201"/>
      <c r="O58" s="201"/>
      <c r="P58" s="201"/>
      <c r="Q58" s="201"/>
      <c r="R58" s="201"/>
      <c r="S58" s="201"/>
    </row>
    <row r="59" spans="1:19">
      <c r="A59" s="192"/>
      <c r="B59" s="79" t="str">
        <f t="shared" si="12"/>
        <v>Build</v>
      </c>
      <c r="C59" s="199">
        <f>IF(C57=1,txt!B258,0)</f>
        <v>0</v>
      </c>
      <c r="D59" s="201"/>
      <c r="E59" s="227" t="str">
        <f>'22hCH'!A$34</f>
        <v>z.B. Senior (5 oder mehr Jahre Berufserfahrung)</v>
      </c>
      <c r="F59" s="201"/>
      <c r="G59" s="79">
        <f t="shared" si="5"/>
        <v>0</v>
      </c>
      <c r="H59" s="79">
        <f t="shared" si="6"/>
        <v>0</v>
      </c>
      <c r="I59" s="196">
        <f>'22hCH'!C$34</f>
        <v>0</v>
      </c>
      <c r="J59" s="210">
        <f>'22hCH'!E$34</f>
        <v>0</v>
      </c>
      <c r="K59" s="210">
        <f>'22hCH'!F$34</f>
        <v>0</v>
      </c>
      <c r="L59" s="210">
        <f>'22hCH'!H$34</f>
        <v>0</v>
      </c>
      <c r="M59" s="210">
        <f>'22hCH'!I$34</f>
        <v>0</v>
      </c>
      <c r="N59" s="201"/>
      <c r="O59" s="201"/>
      <c r="P59" s="201"/>
      <c r="Q59" s="201"/>
      <c r="R59" s="201"/>
      <c r="S59" s="201"/>
    </row>
    <row r="60" spans="1:19">
      <c r="A60" s="192"/>
      <c r="B60" s="79" t="str">
        <f t="shared" si="12"/>
        <v>Build</v>
      </c>
      <c r="C60" s="199">
        <f>IF(C57=1,txt!B258,0)</f>
        <v>0</v>
      </c>
      <c r="D60" s="201"/>
      <c r="E60" s="227">
        <f>'22hCH'!A$36</f>
        <v>0</v>
      </c>
      <c r="F60" s="201"/>
      <c r="G60" s="79">
        <f t="shared" si="5"/>
        <v>0</v>
      </c>
      <c r="H60" s="79">
        <f t="shared" si="6"/>
        <v>0</v>
      </c>
      <c r="I60" s="196">
        <f>'22hCH'!C$36</f>
        <v>0</v>
      </c>
      <c r="J60" s="210">
        <f>'22hCH'!E$36</f>
        <v>0</v>
      </c>
      <c r="K60" s="210">
        <f>'22hCH'!F$36</f>
        <v>0</v>
      </c>
      <c r="L60" s="210">
        <f>'22hCH'!H$36</f>
        <v>0</v>
      </c>
      <c r="M60" s="210">
        <f>'22hCH'!I$36</f>
        <v>0</v>
      </c>
      <c r="N60" s="201"/>
      <c r="O60" s="201"/>
      <c r="P60" s="201"/>
      <c r="Q60" s="201"/>
      <c r="R60" s="201"/>
      <c r="S60" s="201"/>
    </row>
    <row r="61" spans="1:19">
      <c r="A61" s="192"/>
      <c r="B61" s="79" t="str">
        <f t="shared" si="12"/>
        <v>Build</v>
      </c>
      <c r="C61" s="199">
        <f>IF(C57=1,txt!B258,0)</f>
        <v>0</v>
      </c>
      <c r="D61" s="201"/>
      <c r="E61" s="227">
        <f>'22hCH'!A$38</f>
        <v>0</v>
      </c>
      <c r="F61" s="201"/>
      <c r="G61" s="79">
        <f t="shared" si="5"/>
        <v>0</v>
      </c>
      <c r="H61" s="79">
        <f t="shared" si="6"/>
        <v>0</v>
      </c>
      <c r="I61" s="196">
        <f>'22hCH'!C$38</f>
        <v>0</v>
      </c>
      <c r="J61" s="210">
        <f>'22hCH'!E$38</f>
        <v>0</v>
      </c>
      <c r="K61" s="210">
        <f>'22hCH'!F$38</f>
        <v>0</v>
      </c>
      <c r="L61" s="210">
        <f>'22hCH'!H$38</f>
        <v>0</v>
      </c>
      <c r="M61" s="210">
        <f>'22hCH'!I$38</f>
        <v>0</v>
      </c>
      <c r="N61" s="201"/>
      <c r="O61" s="201"/>
      <c r="P61" s="201"/>
      <c r="Q61" s="201"/>
      <c r="R61" s="201"/>
      <c r="S61" s="201"/>
    </row>
    <row r="62" spans="1:19">
      <c r="A62" s="192" t="s">
        <v>600</v>
      </c>
      <c r="B62" s="79" t="str">
        <f>B52</f>
        <v>Plan</v>
      </c>
      <c r="C62" s="79">
        <f>Steuerung!A12*Steuerung!B17*Steuerung!C18*Steuerung!E18</f>
        <v>0</v>
      </c>
      <c r="D62" s="210">
        <f>'0'!$D$11*'0'!$D$18*'2'!$C$15*'2'!$E$15</f>
        <v>0</v>
      </c>
      <c r="E62" s="227" t="str">
        <f>'22hEX'!A$17</f>
        <v>z.B. Junior (Erste IT-Kenntnisse)</v>
      </c>
      <c r="F62" s="210">
        <f>'22hEX'!D$17</f>
        <v>0</v>
      </c>
      <c r="G62" s="79">
        <f t="shared" si="5"/>
        <v>0</v>
      </c>
      <c r="H62" s="79">
        <f t="shared" si="6"/>
        <v>0</v>
      </c>
      <c r="I62" s="196">
        <f>'22hEX'!C$17</f>
        <v>0</v>
      </c>
      <c r="J62" s="210">
        <f>'22hEX'!E$17</f>
        <v>0</v>
      </c>
      <c r="K62" s="210">
        <f>'22hEX'!F$17</f>
        <v>0</v>
      </c>
      <c r="L62" s="210">
        <f>'22hEX'!H$17</f>
        <v>0</v>
      </c>
      <c r="M62" s="210">
        <f>'22hEX'!I$17</f>
        <v>0</v>
      </c>
      <c r="N62" s="201"/>
      <c r="O62" s="201"/>
      <c r="P62" s="201"/>
      <c r="Q62" s="79">
        <f>'22hEX'!A$50</f>
        <v>0</v>
      </c>
      <c r="R62" s="201"/>
      <c r="S62" s="201"/>
    </row>
    <row r="63" spans="1:19">
      <c r="A63" s="192"/>
      <c r="B63" s="79" t="str">
        <f t="shared" ref="B63:B66" si="13">B62</f>
        <v>Plan</v>
      </c>
      <c r="C63" s="199">
        <f>IF(C62=1,txt!B258,0)</f>
        <v>0</v>
      </c>
      <c r="D63" s="201"/>
      <c r="E63" s="227" t="str">
        <f>'22hEX'!A$19</f>
        <v>z.B. Professional (3 oder mehr Jahre Berufserfahrung)</v>
      </c>
      <c r="F63" s="210" t="str">
        <f>'22hEX'!D$19</f>
        <v/>
      </c>
      <c r="G63" s="79">
        <f t="shared" si="5"/>
        <v>0</v>
      </c>
      <c r="H63" s="79">
        <f t="shared" si="6"/>
        <v>0</v>
      </c>
      <c r="I63" s="196">
        <f>'22hEX'!C$19</f>
        <v>0</v>
      </c>
      <c r="J63" s="210">
        <f>'22hEX'!E$19</f>
        <v>0</v>
      </c>
      <c r="K63" s="210">
        <f>'22hEX'!F$19</f>
        <v>0</v>
      </c>
      <c r="L63" s="210">
        <f>'22hEX'!H$19</f>
        <v>0</v>
      </c>
      <c r="M63" s="210">
        <f>'22hEX'!I$19</f>
        <v>0</v>
      </c>
      <c r="N63" s="201"/>
      <c r="O63" s="201"/>
      <c r="P63" s="201"/>
      <c r="Q63" s="201"/>
      <c r="R63" s="201"/>
      <c r="S63" s="201"/>
    </row>
    <row r="64" spans="1:19">
      <c r="A64" s="192"/>
      <c r="B64" s="79" t="str">
        <f t="shared" si="13"/>
        <v>Plan</v>
      </c>
      <c r="C64" s="199">
        <f>IF(C62=1,txt!B258,0)</f>
        <v>0</v>
      </c>
      <c r="D64" s="201"/>
      <c r="E64" s="227" t="str">
        <f>'22hEX'!A$21</f>
        <v>z.B. Senior (5 oder mehr Jahre Berufserfahrung)</v>
      </c>
      <c r="F64" s="210" t="str">
        <f>'22hEX'!D$21</f>
        <v/>
      </c>
      <c r="G64" s="79">
        <f t="shared" si="5"/>
        <v>0</v>
      </c>
      <c r="H64" s="79">
        <f t="shared" si="6"/>
        <v>0</v>
      </c>
      <c r="I64" s="196">
        <f>'22hEX'!C$21</f>
        <v>0</v>
      </c>
      <c r="J64" s="210">
        <f>'22hEX'!E$21</f>
        <v>0</v>
      </c>
      <c r="K64" s="210">
        <f>'22hEX'!F$21</f>
        <v>0</v>
      </c>
      <c r="L64" s="210">
        <f>'22hEX'!H$21</f>
        <v>0</v>
      </c>
      <c r="M64" s="210">
        <f>'22hEX'!I$21</f>
        <v>0</v>
      </c>
      <c r="N64" s="201"/>
      <c r="O64" s="201"/>
      <c r="P64" s="201"/>
      <c r="Q64" s="201"/>
      <c r="R64" s="201"/>
      <c r="S64" s="201"/>
    </row>
    <row r="65" spans="1:19">
      <c r="A65" s="192"/>
      <c r="B65" s="79" t="str">
        <f t="shared" si="13"/>
        <v>Plan</v>
      </c>
      <c r="C65" s="199">
        <f>IF(C62=1,txt!B258,0)</f>
        <v>0</v>
      </c>
      <c r="D65" s="201"/>
      <c r="E65" s="227">
        <f>'22hEX'!A$23</f>
        <v>0</v>
      </c>
      <c r="F65" s="210" t="str">
        <f>'22hEX'!D$23</f>
        <v/>
      </c>
      <c r="G65" s="79">
        <f t="shared" si="5"/>
        <v>0</v>
      </c>
      <c r="H65" s="79">
        <f t="shared" si="6"/>
        <v>0</v>
      </c>
      <c r="I65" s="196">
        <f>'22hEX'!C$23</f>
        <v>0</v>
      </c>
      <c r="J65" s="210">
        <f>'22hEX'!E$23</f>
        <v>0</v>
      </c>
      <c r="K65" s="210">
        <f>'22hEX'!F$23</f>
        <v>0</v>
      </c>
      <c r="L65" s="210">
        <f>'22hEX'!H$23</f>
        <v>0</v>
      </c>
      <c r="M65" s="210">
        <f>'22hEX'!I$23</f>
        <v>0</v>
      </c>
      <c r="N65" s="201"/>
      <c r="O65" s="201"/>
      <c r="P65" s="201"/>
      <c r="Q65" s="201"/>
      <c r="R65" s="201"/>
      <c r="S65" s="201"/>
    </row>
    <row r="66" spans="1:19">
      <c r="A66" s="192"/>
      <c r="B66" s="79" t="str">
        <f t="shared" si="13"/>
        <v>Plan</v>
      </c>
      <c r="C66" s="199">
        <f>IF(C62=1,txt!B258,0)</f>
        <v>0</v>
      </c>
      <c r="D66" s="201"/>
      <c r="E66" s="227">
        <f>'22hEX'!A$25</f>
        <v>0</v>
      </c>
      <c r="F66" s="210" t="str">
        <f>'22hEX'!D$25</f>
        <v/>
      </c>
      <c r="G66" s="79">
        <f t="shared" si="5"/>
        <v>0</v>
      </c>
      <c r="H66" s="79">
        <f t="shared" si="6"/>
        <v>0</v>
      </c>
      <c r="I66" s="196">
        <f>'22hEX'!C$25</f>
        <v>0</v>
      </c>
      <c r="J66" s="210">
        <f>'22hEX'!E$25</f>
        <v>0</v>
      </c>
      <c r="K66" s="210">
        <f>'22hEX'!F$25</f>
        <v>0</v>
      </c>
      <c r="L66" s="210">
        <f>'22hEX'!H$25</f>
        <v>0</v>
      </c>
      <c r="M66" s="210">
        <f>'22hEX'!I$25</f>
        <v>0</v>
      </c>
      <c r="N66" s="201"/>
      <c r="O66" s="201"/>
      <c r="P66" s="201"/>
      <c r="Q66" s="201"/>
      <c r="R66" s="201"/>
      <c r="S66" s="201"/>
    </row>
    <row r="67" spans="1:19">
      <c r="A67" s="192"/>
      <c r="B67" s="79" t="str">
        <f>B57</f>
        <v>Build</v>
      </c>
      <c r="C67" s="79">
        <f>C62</f>
        <v>0</v>
      </c>
      <c r="D67" s="201"/>
      <c r="E67" s="227" t="str">
        <f>'22hEX'!A$30</f>
        <v>z.B. Junior (Erste IT-Kenntnisse)</v>
      </c>
      <c r="F67" s="210">
        <f>'22hEX'!D$30</f>
        <v>0</v>
      </c>
      <c r="G67" s="79">
        <f t="shared" si="5"/>
        <v>0</v>
      </c>
      <c r="H67" s="79">
        <f t="shared" si="6"/>
        <v>0</v>
      </c>
      <c r="I67" s="196">
        <f>'22hEX'!C$30</f>
        <v>0</v>
      </c>
      <c r="J67" s="210">
        <f>'22hEX'!E$30</f>
        <v>0</v>
      </c>
      <c r="K67" s="210">
        <f>'22hEX'!F$30</f>
        <v>0</v>
      </c>
      <c r="L67" s="210">
        <f>'22hEX'!H$30</f>
        <v>0</v>
      </c>
      <c r="M67" s="210">
        <f>'22hEX'!I$30</f>
        <v>0</v>
      </c>
      <c r="N67" s="201"/>
      <c r="O67" s="201"/>
      <c r="P67" s="201"/>
      <c r="Q67" s="201"/>
      <c r="R67" s="201"/>
      <c r="S67" s="201"/>
    </row>
    <row r="68" spans="1:19">
      <c r="A68" s="192"/>
      <c r="B68" s="79" t="str">
        <f t="shared" ref="B68:B71" si="14">B67</f>
        <v>Build</v>
      </c>
      <c r="C68" s="199">
        <f>IF(C67=1,txt!B258,0)</f>
        <v>0</v>
      </c>
      <c r="D68" s="201"/>
      <c r="E68" s="227" t="str">
        <f>'22hEX'!A$32</f>
        <v>z.B. Professional (3 oder mehr Jahre Berufserfahrung)</v>
      </c>
      <c r="F68" s="210" t="str">
        <f>'22hEX'!D$32</f>
        <v/>
      </c>
      <c r="G68" s="79">
        <f t="shared" si="5"/>
        <v>0</v>
      </c>
      <c r="H68" s="79">
        <f t="shared" si="6"/>
        <v>0</v>
      </c>
      <c r="I68" s="196">
        <f>'22hEX'!C$32</f>
        <v>0</v>
      </c>
      <c r="J68" s="210">
        <f>'22hEX'!E$32</f>
        <v>0</v>
      </c>
      <c r="K68" s="210">
        <f>'22hEX'!F$32</f>
        <v>0</v>
      </c>
      <c r="L68" s="210">
        <f>'22hEX'!H$32</f>
        <v>0</v>
      </c>
      <c r="M68" s="210">
        <f>'22hEX'!I$32</f>
        <v>0</v>
      </c>
      <c r="N68" s="201"/>
      <c r="O68" s="201"/>
      <c r="P68" s="201"/>
      <c r="Q68" s="201"/>
      <c r="R68" s="201"/>
      <c r="S68" s="201"/>
    </row>
    <row r="69" spans="1:19">
      <c r="A69" s="192"/>
      <c r="B69" s="79" t="str">
        <f t="shared" si="14"/>
        <v>Build</v>
      </c>
      <c r="C69" s="199">
        <f>IF(C67=1,txt!B258,0)</f>
        <v>0</v>
      </c>
      <c r="D69" s="201"/>
      <c r="E69" s="227" t="str">
        <f>'22hEX'!A$34</f>
        <v>z.B. Senior (5 oder mehr Jahre Berufserfahrung)</v>
      </c>
      <c r="F69" s="210" t="str">
        <f>'22hEX'!D$34</f>
        <v/>
      </c>
      <c r="G69" s="79">
        <f t="shared" si="5"/>
        <v>0</v>
      </c>
      <c r="H69" s="79">
        <f t="shared" si="6"/>
        <v>0</v>
      </c>
      <c r="I69" s="196">
        <f>'22hEX'!C$34</f>
        <v>0</v>
      </c>
      <c r="J69" s="210">
        <f>'22hEX'!E$34</f>
        <v>0</v>
      </c>
      <c r="K69" s="210">
        <f>'22hEX'!F$34</f>
        <v>0</v>
      </c>
      <c r="L69" s="210">
        <f>'22hEX'!H$34</f>
        <v>0</v>
      </c>
      <c r="M69" s="210">
        <f>'22hEX'!I$34</f>
        <v>0</v>
      </c>
      <c r="N69" s="201"/>
      <c r="O69" s="201"/>
      <c r="P69" s="201"/>
      <c r="Q69" s="201"/>
      <c r="R69" s="201"/>
      <c r="S69" s="201"/>
    </row>
    <row r="70" spans="1:19">
      <c r="A70" s="192"/>
      <c r="B70" s="79" t="str">
        <f t="shared" si="14"/>
        <v>Build</v>
      </c>
      <c r="C70" s="199">
        <f>IF(C67=1,txt!B258,0)</f>
        <v>0</v>
      </c>
      <c r="D70" s="201"/>
      <c r="E70" s="227">
        <f>'22hEX'!A$36</f>
        <v>0</v>
      </c>
      <c r="F70" s="210" t="str">
        <f>'22hEX'!D$36</f>
        <v/>
      </c>
      <c r="G70" s="79">
        <f t="shared" si="5"/>
        <v>0</v>
      </c>
      <c r="H70" s="79">
        <f t="shared" si="6"/>
        <v>0</v>
      </c>
      <c r="I70" s="196">
        <f>'22hEX'!C$36</f>
        <v>0</v>
      </c>
      <c r="J70" s="210">
        <f>'22hEX'!E$36</f>
        <v>0</v>
      </c>
      <c r="K70" s="210">
        <f>'22hEX'!F$36</f>
        <v>0</v>
      </c>
      <c r="L70" s="210">
        <f>'22hEX'!H$36</f>
        <v>0</v>
      </c>
      <c r="M70" s="210">
        <f>'22hEX'!I$36</f>
        <v>0</v>
      </c>
      <c r="N70" s="201"/>
      <c r="O70" s="201"/>
      <c r="P70" s="201"/>
      <c r="Q70" s="201"/>
      <c r="R70" s="201"/>
      <c r="S70" s="201"/>
    </row>
    <row r="71" spans="1:19">
      <c r="A71" s="192"/>
      <c r="B71" s="79" t="str">
        <f t="shared" si="14"/>
        <v>Build</v>
      </c>
      <c r="C71" s="199">
        <f>IF(C67=1,txt!B258,0)</f>
        <v>0</v>
      </c>
      <c r="D71" s="201"/>
      <c r="E71" s="227">
        <f>'22hEX'!A$38</f>
        <v>0</v>
      </c>
      <c r="F71" s="210" t="str">
        <f>'22hEX'!D$38</f>
        <v/>
      </c>
      <c r="G71" s="79">
        <f t="shared" si="5"/>
        <v>0</v>
      </c>
      <c r="H71" s="79">
        <f t="shared" si="6"/>
        <v>0</v>
      </c>
      <c r="I71" s="196">
        <f>'22hEX'!C$38</f>
        <v>0</v>
      </c>
      <c r="J71" s="210">
        <f>'22hEX'!E$38</f>
        <v>0</v>
      </c>
      <c r="K71" s="210">
        <f>'22hEX'!F$38</f>
        <v>0</v>
      </c>
      <c r="L71" s="210">
        <f>'22hEX'!H$38</f>
        <v>0</v>
      </c>
      <c r="M71" s="210">
        <f>'22hEX'!I$38</f>
        <v>0</v>
      </c>
      <c r="N71" s="201"/>
      <c r="O71" s="201"/>
      <c r="P71" s="201"/>
      <c r="Q71" s="201"/>
      <c r="R71" s="201"/>
      <c r="S71" s="201"/>
    </row>
    <row r="72" spans="1:19">
      <c r="A72" s="192" t="s">
        <v>306</v>
      </c>
      <c r="B72" s="79" t="s">
        <v>602</v>
      </c>
      <c r="C72" s="79">
        <f>Steuerung!A12*Steuerung!B21*Steuerung!C24</f>
        <v>0</v>
      </c>
      <c r="D72" s="210">
        <f>'0'!$D$11*'0'!$D$18*'2'!$C$17*(1-'2'!$E$17)</f>
        <v>0</v>
      </c>
      <c r="E72" s="228"/>
      <c r="F72" s="201"/>
      <c r="G72" s="79">
        <f>'23i'!D17</f>
        <v>0</v>
      </c>
      <c r="H72" s="79">
        <f>'23i'!E17</f>
        <v>0</v>
      </c>
      <c r="I72" s="201"/>
      <c r="J72" s="201"/>
      <c r="K72" s="201"/>
      <c r="L72" s="201"/>
      <c r="M72" s="201"/>
      <c r="N72" s="211">
        <f>'23i'!D20</f>
        <v>0</v>
      </c>
      <c r="O72" s="211">
        <f>'23i'!E20</f>
        <v>0</v>
      </c>
      <c r="P72" s="201"/>
      <c r="Q72" s="79">
        <f>'23i'!A27</f>
        <v>0</v>
      </c>
      <c r="R72" s="201"/>
      <c r="S72" s="201"/>
    </row>
    <row r="73" spans="1:19">
      <c r="A73" s="192"/>
      <c r="B73" s="79" t="s">
        <v>603</v>
      </c>
      <c r="C73" s="79">
        <f>Steuerung!A12*Steuerung!B21*Steuerung!C24*Steuerung!E24</f>
        <v>0</v>
      </c>
      <c r="D73" s="210">
        <f>'0'!$D$11*'0'!$D$18*'2'!$C$17*'2'!$E$17</f>
        <v>0</v>
      </c>
      <c r="E73" s="228"/>
      <c r="F73" s="197">
        <f>'23i'!G17</f>
        <v>0</v>
      </c>
      <c r="G73" s="79">
        <f>'23i'!H17</f>
        <v>0</v>
      </c>
      <c r="H73" s="79">
        <f>'23i'!I17</f>
        <v>0</v>
      </c>
      <c r="I73" s="201"/>
      <c r="J73" s="201"/>
      <c r="K73" s="201"/>
      <c r="L73" s="201"/>
      <c r="M73" s="201"/>
      <c r="N73" s="195">
        <f>'23i'!H20</f>
        <v>0</v>
      </c>
      <c r="O73" s="195">
        <f>'23i'!I20</f>
        <v>0</v>
      </c>
      <c r="P73" s="201"/>
      <c r="Q73" s="201"/>
      <c r="R73" s="201"/>
      <c r="S73" s="201"/>
    </row>
    <row r="74" spans="1:19">
      <c r="A74" s="192" t="s">
        <v>601</v>
      </c>
      <c r="B74" s="79" t="str">
        <f>txt!B107</f>
        <v>Plan</v>
      </c>
      <c r="C74" s="79">
        <f>Steuerung!A12*Steuerung!B21*Steuerung!C22</f>
        <v>0</v>
      </c>
      <c r="D74" s="210">
        <f>'0'!$D$11*'0'!$D$18*'2'!$C$17*(1-'2'!$E$17)</f>
        <v>0</v>
      </c>
      <c r="E74" s="227" t="str">
        <f>'23hCH'!A$17</f>
        <v>z.B. Junior (Erste IT-Kenntnisse)</v>
      </c>
      <c r="F74" s="201"/>
      <c r="G74" s="79">
        <f t="shared" ref="G74:G93" si="15">J74*(1-L74)</f>
        <v>0</v>
      </c>
      <c r="H74" s="79">
        <f t="shared" ref="H74:H93" si="16">K74*(1-M74)</f>
        <v>0</v>
      </c>
      <c r="I74" s="196">
        <f>'23hCH'!C$17</f>
        <v>0</v>
      </c>
      <c r="J74" s="210">
        <f>'23hCH'!E$17</f>
        <v>0</v>
      </c>
      <c r="K74" s="210">
        <f>'23hCH'!F$17</f>
        <v>0</v>
      </c>
      <c r="L74" s="210">
        <f>'23hCH'!H$17</f>
        <v>0</v>
      </c>
      <c r="M74" s="210">
        <f>'23hCH'!I$17</f>
        <v>0</v>
      </c>
      <c r="N74" s="201"/>
      <c r="O74" s="201"/>
      <c r="P74" s="201"/>
      <c r="Q74" s="79">
        <f>'11hCH'!A$50</f>
        <v>0</v>
      </c>
      <c r="R74" s="201"/>
      <c r="S74" s="201"/>
    </row>
    <row r="75" spans="1:19">
      <c r="A75" s="192"/>
      <c r="B75" s="79" t="str">
        <f t="shared" ref="B75:B78" si="17">B74</f>
        <v>Plan</v>
      </c>
      <c r="C75" s="199">
        <f>IF(C74=1,txt!B258,0)</f>
        <v>0</v>
      </c>
      <c r="D75" s="201"/>
      <c r="E75" s="227" t="str">
        <f>'23hCH'!A$19</f>
        <v>z.B. Professional (3 oder mehr Jahre Berufserfahrung)</v>
      </c>
      <c r="F75" s="201"/>
      <c r="G75" s="79">
        <f t="shared" si="15"/>
        <v>0</v>
      </c>
      <c r="H75" s="79">
        <f t="shared" si="16"/>
        <v>0</v>
      </c>
      <c r="I75" s="196">
        <f>'23hCH'!C$19</f>
        <v>0</v>
      </c>
      <c r="J75" s="210">
        <f>'23hCH'!E$19</f>
        <v>0</v>
      </c>
      <c r="K75" s="210">
        <f>'23hCH'!F$19</f>
        <v>0</v>
      </c>
      <c r="L75" s="210">
        <f>'23hCH'!H$19</f>
        <v>0</v>
      </c>
      <c r="M75" s="210">
        <f>'23hCH'!I$19</f>
        <v>0</v>
      </c>
      <c r="N75" s="201"/>
      <c r="O75" s="201"/>
      <c r="P75" s="201"/>
      <c r="Q75" s="201"/>
      <c r="R75" s="201"/>
      <c r="S75" s="201"/>
    </row>
    <row r="76" spans="1:19">
      <c r="A76" s="192"/>
      <c r="B76" s="79" t="str">
        <f t="shared" si="17"/>
        <v>Plan</v>
      </c>
      <c r="C76" s="199">
        <f>IF(C74=1,txt!B258,0)</f>
        <v>0</v>
      </c>
      <c r="D76" s="201"/>
      <c r="E76" s="227" t="str">
        <f>'23hCH'!A$21</f>
        <v>z.B. Senior (5 oder mehr Jahre Berufserfahrung)</v>
      </c>
      <c r="F76" s="201"/>
      <c r="G76" s="79">
        <f t="shared" si="15"/>
        <v>0</v>
      </c>
      <c r="H76" s="79">
        <f t="shared" si="16"/>
        <v>0</v>
      </c>
      <c r="I76" s="196">
        <f>'23hCH'!C$21</f>
        <v>0</v>
      </c>
      <c r="J76" s="210">
        <f>'23hCH'!E$21</f>
        <v>0</v>
      </c>
      <c r="K76" s="210">
        <f>'23hCH'!F$21</f>
        <v>0</v>
      </c>
      <c r="L76" s="210">
        <f>'23hCH'!H$21</f>
        <v>0</v>
      </c>
      <c r="M76" s="210">
        <f>'23hCH'!I$21</f>
        <v>0</v>
      </c>
      <c r="N76" s="201"/>
      <c r="O76" s="201"/>
      <c r="P76" s="201"/>
      <c r="Q76" s="201"/>
      <c r="R76" s="201"/>
      <c r="S76" s="201"/>
    </row>
    <row r="77" spans="1:19">
      <c r="A77" s="192"/>
      <c r="B77" s="79" t="str">
        <f t="shared" si="17"/>
        <v>Plan</v>
      </c>
      <c r="C77" s="199">
        <f>IF(C74=1,txt!B258,0)</f>
        <v>0</v>
      </c>
      <c r="D77" s="201"/>
      <c r="E77" s="227">
        <f>'23hCH'!A$23</f>
        <v>0</v>
      </c>
      <c r="F77" s="201"/>
      <c r="G77" s="79">
        <f t="shared" si="15"/>
        <v>0</v>
      </c>
      <c r="H77" s="79">
        <f t="shared" si="16"/>
        <v>0</v>
      </c>
      <c r="I77" s="196">
        <f>'23hCH'!C$23</f>
        <v>0</v>
      </c>
      <c r="J77" s="210">
        <f>'23hCH'!E$23</f>
        <v>0</v>
      </c>
      <c r="K77" s="210">
        <f>'23hCH'!F$23</f>
        <v>0</v>
      </c>
      <c r="L77" s="210">
        <f>'23hCH'!H$23</f>
        <v>0</v>
      </c>
      <c r="M77" s="210">
        <f>'23hCH'!I$23</f>
        <v>0</v>
      </c>
      <c r="N77" s="201"/>
      <c r="O77" s="201"/>
      <c r="P77" s="201"/>
      <c r="Q77" s="201"/>
      <c r="R77" s="201"/>
      <c r="S77" s="201"/>
    </row>
    <row r="78" spans="1:19">
      <c r="A78" s="192"/>
      <c r="B78" s="79" t="str">
        <f t="shared" si="17"/>
        <v>Plan</v>
      </c>
      <c r="C78" s="199">
        <f>IF(C74=1,txt!B258,0)</f>
        <v>0</v>
      </c>
      <c r="D78" s="201"/>
      <c r="E78" s="227">
        <f>'23hCH'!A$25</f>
        <v>0</v>
      </c>
      <c r="F78" s="201"/>
      <c r="G78" s="79">
        <f t="shared" si="15"/>
        <v>0</v>
      </c>
      <c r="H78" s="79">
        <f t="shared" si="16"/>
        <v>0</v>
      </c>
      <c r="I78" s="196">
        <f>'23hCH'!C$25</f>
        <v>0</v>
      </c>
      <c r="J78" s="210">
        <f>'23hCH'!E$25</f>
        <v>0</v>
      </c>
      <c r="K78" s="210">
        <f>'23hCH'!F$25</f>
        <v>0</v>
      </c>
      <c r="L78" s="210">
        <f>'23hCH'!H$25</f>
        <v>0</v>
      </c>
      <c r="M78" s="210">
        <f>'23hCH'!I$25</f>
        <v>0</v>
      </c>
      <c r="N78" s="201"/>
      <c r="O78" s="201"/>
      <c r="P78" s="201"/>
      <c r="Q78" s="201"/>
      <c r="R78" s="201"/>
      <c r="S78" s="201"/>
    </row>
    <row r="79" spans="1:19">
      <c r="A79" s="192"/>
      <c r="B79" s="79" t="str">
        <f>txt!B109</f>
        <v>Build</v>
      </c>
      <c r="C79" s="79">
        <f>C74</f>
        <v>0</v>
      </c>
      <c r="D79" s="201"/>
      <c r="E79" s="227" t="str">
        <f>'23hCH'!A$30</f>
        <v>z.B. Junior (Erste IT-Kenntnisse)</v>
      </c>
      <c r="F79" s="201"/>
      <c r="G79" s="79">
        <f t="shared" si="15"/>
        <v>0</v>
      </c>
      <c r="H79" s="79">
        <f t="shared" si="16"/>
        <v>0</v>
      </c>
      <c r="I79" s="196">
        <f>'23hCH'!C$30</f>
        <v>0</v>
      </c>
      <c r="J79" s="210">
        <f>'23hCH'!E$30</f>
        <v>0</v>
      </c>
      <c r="K79" s="210">
        <f>'23hCH'!F$30</f>
        <v>0</v>
      </c>
      <c r="L79" s="210">
        <f>'23hCH'!H$30</f>
        <v>0</v>
      </c>
      <c r="M79" s="210">
        <f>'23hCH'!I$30</f>
        <v>0</v>
      </c>
      <c r="N79" s="201"/>
      <c r="O79" s="201"/>
      <c r="P79" s="201"/>
      <c r="Q79" s="201"/>
      <c r="R79" s="201"/>
      <c r="S79" s="201"/>
    </row>
    <row r="80" spans="1:19">
      <c r="A80" s="192"/>
      <c r="B80" s="79" t="str">
        <f t="shared" ref="B80:B83" si="18">B79</f>
        <v>Build</v>
      </c>
      <c r="C80" s="199">
        <f>IF(C79=1,txt!B258,0)</f>
        <v>0</v>
      </c>
      <c r="D80" s="201"/>
      <c r="E80" s="227" t="str">
        <f>'23hCH'!A$32</f>
        <v>z.B. Professional (3 oder mehr Jahre Berufserfahrung)</v>
      </c>
      <c r="F80" s="201"/>
      <c r="G80" s="79">
        <f t="shared" si="15"/>
        <v>0</v>
      </c>
      <c r="H80" s="79">
        <f t="shared" si="16"/>
        <v>0</v>
      </c>
      <c r="I80" s="196">
        <f>'23hCH'!C$32</f>
        <v>0</v>
      </c>
      <c r="J80" s="210">
        <f>'23hCH'!E$32</f>
        <v>0</v>
      </c>
      <c r="K80" s="210">
        <f>'23hCH'!F$32</f>
        <v>0</v>
      </c>
      <c r="L80" s="210">
        <f>'23hCH'!H$32</f>
        <v>0</v>
      </c>
      <c r="M80" s="210">
        <f>'23hCH'!I$32</f>
        <v>0</v>
      </c>
      <c r="N80" s="201"/>
      <c r="O80" s="201"/>
      <c r="P80" s="201"/>
      <c r="Q80" s="201"/>
      <c r="R80" s="201"/>
      <c r="S80" s="201"/>
    </row>
    <row r="81" spans="1:19">
      <c r="A81" s="192"/>
      <c r="B81" s="79" t="str">
        <f t="shared" si="18"/>
        <v>Build</v>
      </c>
      <c r="C81" s="199">
        <f>IF(C79=1,txt!B258,0)</f>
        <v>0</v>
      </c>
      <c r="D81" s="201"/>
      <c r="E81" s="227" t="str">
        <f>'23hCH'!A$34</f>
        <v>z.B. Senior (5 oder mehr Jahre Berufserfahrung)</v>
      </c>
      <c r="F81" s="201"/>
      <c r="G81" s="79">
        <f t="shared" si="15"/>
        <v>0</v>
      </c>
      <c r="H81" s="79">
        <f t="shared" si="16"/>
        <v>0</v>
      </c>
      <c r="I81" s="196">
        <f>'23hCH'!C$34</f>
        <v>0</v>
      </c>
      <c r="J81" s="210">
        <f>'23hCH'!E$34</f>
        <v>0</v>
      </c>
      <c r="K81" s="210">
        <f>'23hCH'!F$34</f>
        <v>0</v>
      </c>
      <c r="L81" s="210">
        <f>'23hCH'!H$34</f>
        <v>0</v>
      </c>
      <c r="M81" s="210">
        <f>'23hCH'!I$34</f>
        <v>0</v>
      </c>
      <c r="N81" s="201"/>
      <c r="O81" s="201"/>
      <c r="P81" s="201"/>
      <c r="Q81" s="201"/>
      <c r="R81" s="201"/>
      <c r="S81" s="201"/>
    </row>
    <row r="82" spans="1:19">
      <c r="A82" s="192"/>
      <c r="B82" s="79" t="str">
        <f t="shared" si="18"/>
        <v>Build</v>
      </c>
      <c r="C82" s="199">
        <f>IF(C79=1,txt!B258,0)</f>
        <v>0</v>
      </c>
      <c r="D82" s="201"/>
      <c r="E82" s="227">
        <f>'23hCH'!A$36</f>
        <v>0</v>
      </c>
      <c r="F82" s="201"/>
      <c r="G82" s="79">
        <f t="shared" si="15"/>
        <v>0</v>
      </c>
      <c r="H82" s="79">
        <f t="shared" si="16"/>
        <v>0</v>
      </c>
      <c r="I82" s="196">
        <f>'23hCH'!C$36</f>
        <v>0</v>
      </c>
      <c r="J82" s="210">
        <f>'23hCH'!E$36</f>
        <v>0</v>
      </c>
      <c r="K82" s="210">
        <f>'23hCH'!F$36</f>
        <v>0</v>
      </c>
      <c r="L82" s="210">
        <f>'23hCH'!H$36</f>
        <v>0</v>
      </c>
      <c r="M82" s="210">
        <f>'23hCH'!I$36</f>
        <v>0</v>
      </c>
      <c r="N82" s="201"/>
      <c r="O82" s="201"/>
      <c r="P82" s="201"/>
      <c r="Q82" s="201"/>
      <c r="R82" s="201"/>
      <c r="S82" s="201"/>
    </row>
    <row r="83" spans="1:19">
      <c r="A83" s="192"/>
      <c r="B83" s="79" t="str">
        <f t="shared" si="18"/>
        <v>Build</v>
      </c>
      <c r="C83" s="199">
        <f>IF(C79=1,txt!B258,0)</f>
        <v>0</v>
      </c>
      <c r="D83" s="201"/>
      <c r="E83" s="227">
        <f>'23hCH'!A$38</f>
        <v>0</v>
      </c>
      <c r="F83" s="201"/>
      <c r="G83" s="79">
        <f t="shared" si="15"/>
        <v>0</v>
      </c>
      <c r="H83" s="79">
        <f t="shared" si="16"/>
        <v>0</v>
      </c>
      <c r="I83" s="196">
        <f>'23hCH'!C$38</f>
        <v>0</v>
      </c>
      <c r="J83" s="210">
        <f>'23hCH'!E$38</f>
        <v>0</v>
      </c>
      <c r="K83" s="210">
        <f>'23hCH'!F$38</f>
        <v>0</v>
      </c>
      <c r="L83" s="210">
        <f>'23hCH'!H$38</f>
        <v>0</v>
      </c>
      <c r="M83" s="210">
        <f>'23hCH'!I$38</f>
        <v>0</v>
      </c>
      <c r="N83" s="201"/>
      <c r="O83" s="201"/>
      <c r="P83" s="201"/>
      <c r="Q83" s="201"/>
      <c r="R83" s="201"/>
      <c r="S83" s="201"/>
    </row>
    <row r="84" spans="1:19">
      <c r="A84" s="192" t="s">
        <v>604</v>
      </c>
      <c r="B84" s="79" t="str">
        <f>B74</f>
        <v>Plan</v>
      </c>
      <c r="C84" s="79">
        <f>Steuerung!A12*Steuerung!B21*Steuerung!C22*Steuerung!E22</f>
        <v>0</v>
      </c>
      <c r="D84" s="210">
        <f>'0'!$D$11*'0'!$D$18*'2'!$C$17*'2'!$E$17</f>
        <v>0</v>
      </c>
      <c r="E84" s="227" t="str">
        <f>'23hEX'!A$17</f>
        <v>z.B. Junior (Erste IT-Kenntnisse)</v>
      </c>
      <c r="F84" s="210">
        <f>'23hEX'!D$17</f>
        <v>0</v>
      </c>
      <c r="G84" s="79">
        <f t="shared" si="15"/>
        <v>0</v>
      </c>
      <c r="H84" s="79">
        <f t="shared" si="16"/>
        <v>0</v>
      </c>
      <c r="I84" s="196">
        <f>'23hEX'!C$17</f>
        <v>0</v>
      </c>
      <c r="J84" s="210">
        <f>'23hEX'!E$17</f>
        <v>0</v>
      </c>
      <c r="K84" s="210">
        <f>'23hEX'!F$17</f>
        <v>0</v>
      </c>
      <c r="L84" s="210">
        <f>'23hEX'!H$17</f>
        <v>0</v>
      </c>
      <c r="M84" s="210">
        <f>'23hEX'!I$17</f>
        <v>0</v>
      </c>
      <c r="N84" s="201"/>
      <c r="O84" s="201"/>
      <c r="P84" s="201"/>
      <c r="Q84" s="79">
        <f>'23hEX'!A$50</f>
        <v>0</v>
      </c>
      <c r="R84" s="201"/>
      <c r="S84" s="201"/>
    </row>
    <row r="85" spans="1:19">
      <c r="A85" s="192"/>
      <c r="B85" s="79" t="str">
        <f t="shared" ref="B85:B88" si="19">B84</f>
        <v>Plan</v>
      </c>
      <c r="C85" s="199">
        <f>IF(C84=1,txt!B258,0)</f>
        <v>0</v>
      </c>
      <c r="D85" s="201"/>
      <c r="E85" s="227" t="str">
        <f>'23hEX'!A$19</f>
        <v>z.B. Professional (3 oder mehr Jahre Berufserfahrung)</v>
      </c>
      <c r="F85" s="210" t="str">
        <f>'23hEX'!D$19</f>
        <v/>
      </c>
      <c r="G85" s="79">
        <f t="shared" si="15"/>
        <v>0</v>
      </c>
      <c r="H85" s="79">
        <f t="shared" si="16"/>
        <v>0</v>
      </c>
      <c r="I85" s="196">
        <f>'23hEX'!C$19</f>
        <v>0</v>
      </c>
      <c r="J85" s="210">
        <f>'23hEX'!E$19</f>
        <v>0</v>
      </c>
      <c r="K85" s="210">
        <f>'23hEX'!F$19</f>
        <v>0</v>
      </c>
      <c r="L85" s="210">
        <f>'23hEX'!H$19</f>
        <v>0</v>
      </c>
      <c r="M85" s="210">
        <f>'23hEX'!I$19</f>
        <v>0</v>
      </c>
      <c r="N85" s="201"/>
      <c r="O85" s="201"/>
      <c r="P85" s="201"/>
      <c r="Q85" s="201"/>
      <c r="R85" s="201"/>
      <c r="S85" s="201"/>
    </row>
    <row r="86" spans="1:19">
      <c r="A86" s="192"/>
      <c r="B86" s="79" t="str">
        <f t="shared" si="19"/>
        <v>Plan</v>
      </c>
      <c r="C86" s="199">
        <f>IF(C84=1,txt!B258,0)</f>
        <v>0</v>
      </c>
      <c r="D86" s="201"/>
      <c r="E86" s="227" t="str">
        <f>'23hEX'!A$21</f>
        <v>z.B. Senior (5 oder mehr Jahre Berufserfahrung)</v>
      </c>
      <c r="F86" s="210" t="str">
        <f>'23hEX'!D$21</f>
        <v/>
      </c>
      <c r="G86" s="79">
        <f t="shared" si="15"/>
        <v>0</v>
      </c>
      <c r="H86" s="79">
        <f t="shared" si="16"/>
        <v>0</v>
      </c>
      <c r="I86" s="196">
        <f>'23hEX'!C$21</f>
        <v>0</v>
      </c>
      <c r="J86" s="210">
        <f>'23hEX'!E$21</f>
        <v>0</v>
      </c>
      <c r="K86" s="210">
        <f>'23hEX'!F$21</f>
        <v>0</v>
      </c>
      <c r="L86" s="210">
        <f>'23hEX'!H$21</f>
        <v>0</v>
      </c>
      <c r="M86" s="210">
        <f>'23hEX'!I$21</f>
        <v>0</v>
      </c>
      <c r="N86" s="201"/>
      <c r="O86" s="201"/>
      <c r="P86" s="201"/>
      <c r="Q86" s="201"/>
      <c r="R86" s="201"/>
      <c r="S86" s="201"/>
    </row>
    <row r="87" spans="1:19">
      <c r="A87" s="192"/>
      <c r="B87" s="79" t="str">
        <f t="shared" si="19"/>
        <v>Plan</v>
      </c>
      <c r="C87" s="199">
        <f>IF(C84=1,txt!B258,0)</f>
        <v>0</v>
      </c>
      <c r="D87" s="201"/>
      <c r="E87" s="227">
        <f>'23hEX'!A$23</f>
        <v>0</v>
      </c>
      <c r="F87" s="210" t="str">
        <f>'23hEX'!D$23</f>
        <v/>
      </c>
      <c r="G87" s="79">
        <f t="shared" si="15"/>
        <v>0</v>
      </c>
      <c r="H87" s="79">
        <f t="shared" si="16"/>
        <v>0</v>
      </c>
      <c r="I87" s="196">
        <f>'23hEX'!C$23</f>
        <v>0</v>
      </c>
      <c r="J87" s="210">
        <f>'23hEX'!E$23</f>
        <v>0</v>
      </c>
      <c r="K87" s="210">
        <f>'23hEX'!F$23</f>
        <v>0</v>
      </c>
      <c r="L87" s="210">
        <f>'23hEX'!H$23</f>
        <v>0</v>
      </c>
      <c r="M87" s="210">
        <f>'23hEX'!I$23</f>
        <v>0</v>
      </c>
      <c r="N87" s="201"/>
      <c r="O87" s="201"/>
      <c r="P87" s="201"/>
      <c r="Q87" s="201"/>
      <c r="R87" s="201"/>
      <c r="S87" s="201"/>
    </row>
    <row r="88" spans="1:19">
      <c r="A88" s="192"/>
      <c r="B88" s="79" t="str">
        <f t="shared" si="19"/>
        <v>Plan</v>
      </c>
      <c r="C88" s="199">
        <f>IF(C84=1,txt!B258,0)</f>
        <v>0</v>
      </c>
      <c r="D88" s="201"/>
      <c r="E88" s="227">
        <f>'23hEX'!A$25</f>
        <v>0</v>
      </c>
      <c r="F88" s="210" t="str">
        <f>'23hEX'!D$25</f>
        <v/>
      </c>
      <c r="G88" s="79">
        <f t="shared" si="15"/>
        <v>0</v>
      </c>
      <c r="H88" s="79">
        <f t="shared" si="16"/>
        <v>0</v>
      </c>
      <c r="I88" s="196">
        <f>'23hEX'!C$25</f>
        <v>0</v>
      </c>
      <c r="J88" s="210">
        <f>'23hEX'!E$25</f>
        <v>0</v>
      </c>
      <c r="K88" s="210">
        <f>'23hEX'!F$25</f>
        <v>0</v>
      </c>
      <c r="L88" s="210">
        <f>'23hEX'!H$25</f>
        <v>0</v>
      </c>
      <c r="M88" s="210">
        <f>'23hEX'!I$25</f>
        <v>0</v>
      </c>
      <c r="N88" s="201"/>
      <c r="O88" s="201"/>
      <c r="P88" s="201"/>
      <c r="Q88" s="201"/>
      <c r="R88" s="201"/>
      <c r="S88" s="201"/>
    </row>
    <row r="89" spans="1:19">
      <c r="A89" s="192"/>
      <c r="B89" s="79" t="str">
        <f>B79</f>
        <v>Build</v>
      </c>
      <c r="C89" s="79">
        <f>C84</f>
        <v>0</v>
      </c>
      <c r="D89" s="201"/>
      <c r="E89" s="227" t="str">
        <f>'23hEX'!A$30</f>
        <v>z.B. Junior (Erste IT-Kenntnisse)</v>
      </c>
      <c r="F89" s="210">
        <f>'23hEX'!D$30</f>
        <v>0</v>
      </c>
      <c r="G89" s="79">
        <f t="shared" si="15"/>
        <v>0</v>
      </c>
      <c r="H89" s="79">
        <f t="shared" si="16"/>
        <v>0</v>
      </c>
      <c r="I89" s="196">
        <f>'23hEX'!C$30</f>
        <v>0</v>
      </c>
      <c r="J89" s="210">
        <f>'23hEX'!E$30</f>
        <v>0</v>
      </c>
      <c r="K89" s="210">
        <f>'23hEX'!F$30</f>
        <v>0</v>
      </c>
      <c r="L89" s="210">
        <f>'23hEX'!H$30</f>
        <v>0</v>
      </c>
      <c r="M89" s="210">
        <f>'23hEX'!I$30</f>
        <v>0</v>
      </c>
      <c r="N89" s="201"/>
      <c r="O89" s="201"/>
      <c r="P89" s="201"/>
      <c r="Q89" s="201"/>
      <c r="R89" s="201"/>
      <c r="S89" s="201"/>
    </row>
    <row r="90" spans="1:19">
      <c r="A90" s="192"/>
      <c r="B90" s="79" t="str">
        <f t="shared" ref="B90:B93" si="20">B89</f>
        <v>Build</v>
      </c>
      <c r="C90" s="199">
        <f>IF(C89=1,txt!B258,0)</f>
        <v>0</v>
      </c>
      <c r="D90" s="201"/>
      <c r="E90" s="227" t="str">
        <f>'23hEX'!A$32</f>
        <v>z.B. Professional (3 oder mehr Jahre Berufserfahrung)</v>
      </c>
      <c r="F90" s="210" t="str">
        <f>'23hEX'!D$32</f>
        <v/>
      </c>
      <c r="G90" s="79">
        <f t="shared" si="15"/>
        <v>0</v>
      </c>
      <c r="H90" s="79">
        <f t="shared" si="16"/>
        <v>0</v>
      </c>
      <c r="I90" s="196">
        <f>'23hEX'!C$32</f>
        <v>0</v>
      </c>
      <c r="J90" s="210">
        <f>'23hEX'!E$32</f>
        <v>0</v>
      </c>
      <c r="K90" s="210">
        <f>'23hEX'!F$32</f>
        <v>0</v>
      </c>
      <c r="L90" s="210">
        <f>'23hEX'!H$32</f>
        <v>0</v>
      </c>
      <c r="M90" s="210">
        <f>'23hEX'!I$32</f>
        <v>0</v>
      </c>
      <c r="N90" s="201"/>
      <c r="O90" s="201"/>
      <c r="P90" s="201"/>
      <c r="Q90" s="201"/>
      <c r="R90" s="201"/>
      <c r="S90" s="201"/>
    </row>
    <row r="91" spans="1:19">
      <c r="A91" s="192"/>
      <c r="B91" s="79" t="str">
        <f t="shared" si="20"/>
        <v>Build</v>
      </c>
      <c r="C91" s="199">
        <f>IF(C89=1,txt!B258,0)</f>
        <v>0</v>
      </c>
      <c r="D91" s="201"/>
      <c r="E91" s="227" t="str">
        <f>'23hEX'!A$34</f>
        <v>z.B. Senior (5 oder mehr Jahre Berufserfahrung)</v>
      </c>
      <c r="F91" s="210" t="str">
        <f>'23hEX'!D$34</f>
        <v/>
      </c>
      <c r="G91" s="79">
        <f t="shared" si="15"/>
        <v>0</v>
      </c>
      <c r="H91" s="79">
        <f t="shared" si="16"/>
        <v>0</v>
      </c>
      <c r="I91" s="196">
        <f>'23hEX'!C$34</f>
        <v>0</v>
      </c>
      <c r="J91" s="210">
        <f>'23hEX'!E$34</f>
        <v>0</v>
      </c>
      <c r="K91" s="210">
        <f>'23hEX'!F$34</f>
        <v>0</v>
      </c>
      <c r="L91" s="210">
        <f>'23hEX'!H$34</f>
        <v>0</v>
      </c>
      <c r="M91" s="210">
        <f>'23hEX'!I$34</f>
        <v>0</v>
      </c>
      <c r="N91" s="201"/>
      <c r="O91" s="201"/>
      <c r="P91" s="201"/>
      <c r="Q91" s="201"/>
      <c r="R91" s="201"/>
      <c r="S91" s="201"/>
    </row>
    <row r="92" spans="1:19">
      <c r="A92" s="192"/>
      <c r="B92" s="79" t="str">
        <f t="shared" si="20"/>
        <v>Build</v>
      </c>
      <c r="C92" s="199">
        <f>IF(C89=1,txt!B258,0)</f>
        <v>0</v>
      </c>
      <c r="D92" s="201"/>
      <c r="E92" s="227">
        <f>'23hEX'!A$36</f>
        <v>0</v>
      </c>
      <c r="F92" s="210" t="str">
        <f>'23hEX'!D$36</f>
        <v/>
      </c>
      <c r="G92" s="79">
        <f t="shared" si="15"/>
        <v>0</v>
      </c>
      <c r="H92" s="79">
        <f t="shared" si="16"/>
        <v>0</v>
      </c>
      <c r="I92" s="196">
        <f>'23hEX'!C$36</f>
        <v>0</v>
      </c>
      <c r="J92" s="210">
        <f>'23hEX'!E$36</f>
        <v>0</v>
      </c>
      <c r="K92" s="210">
        <f>'23hEX'!F$36</f>
        <v>0</v>
      </c>
      <c r="L92" s="210">
        <f>'23hEX'!H$36</f>
        <v>0</v>
      </c>
      <c r="M92" s="210">
        <f>'23hEX'!I$36</f>
        <v>0</v>
      </c>
      <c r="N92" s="201"/>
      <c r="O92" s="201"/>
      <c r="P92" s="201"/>
      <c r="Q92" s="201"/>
      <c r="R92" s="201"/>
      <c r="S92" s="201"/>
    </row>
    <row r="93" spans="1:19">
      <c r="A93" s="192"/>
      <c r="B93" s="79" t="str">
        <f t="shared" si="20"/>
        <v>Build</v>
      </c>
      <c r="C93" s="199">
        <f>IF(C89=1,txt!B258,0)</f>
        <v>0</v>
      </c>
      <c r="D93" s="201"/>
      <c r="E93" s="227">
        <f>'23hEX'!A$38</f>
        <v>0</v>
      </c>
      <c r="F93" s="210" t="str">
        <f>'23hEX'!D$38</f>
        <v/>
      </c>
      <c r="G93" s="79">
        <f t="shared" si="15"/>
        <v>0</v>
      </c>
      <c r="H93" s="79">
        <f t="shared" si="16"/>
        <v>0</v>
      </c>
      <c r="I93" s="196">
        <f>'23hEX'!C$38</f>
        <v>0</v>
      </c>
      <c r="J93" s="210">
        <f>'23hEX'!E$38</f>
        <v>0</v>
      </c>
      <c r="K93" s="210">
        <f>'23hEX'!F$38</f>
        <v>0</v>
      </c>
      <c r="L93" s="210">
        <f>'23hEX'!H$38</f>
        <v>0</v>
      </c>
      <c r="M93" s="210">
        <f>'23hEX'!I$38</f>
        <v>0</v>
      </c>
      <c r="N93" s="201"/>
      <c r="O93" s="201"/>
      <c r="P93" s="201"/>
      <c r="Q93" s="201"/>
      <c r="R93" s="201"/>
      <c r="S93" s="201"/>
    </row>
    <row r="94" spans="1:19">
      <c r="A94" s="193" t="s">
        <v>292</v>
      </c>
      <c r="B94" s="79">
        <v>1</v>
      </c>
      <c r="C94" s="79">
        <f>Steuerung!A27*Steuerung!B29*Steuerung!C29</f>
        <v>0</v>
      </c>
      <c r="D94" s="210">
        <f>'0'!$D$11*'0'!$D$20*'3'!$C$13*(1-'3'!$E$13)</f>
        <v>0</v>
      </c>
      <c r="E94" s="208">
        <f>'31cCH'!$A$17</f>
        <v>0</v>
      </c>
      <c r="F94" s="201"/>
      <c r="G94" s="79">
        <f>'31cCH'!$D$17</f>
        <v>0</v>
      </c>
      <c r="H94" s="79">
        <f>'31cCH'!$E$17</f>
        <v>0</v>
      </c>
      <c r="I94" s="201"/>
      <c r="J94" s="201"/>
      <c r="K94" s="201"/>
      <c r="L94" s="201"/>
      <c r="M94" s="201"/>
      <c r="N94" s="201"/>
      <c r="O94" s="201"/>
      <c r="P94" s="201"/>
      <c r="Q94" s="79">
        <f>'31cCH'!$A$31</f>
        <v>0</v>
      </c>
      <c r="R94" s="201"/>
      <c r="S94" s="201"/>
    </row>
    <row r="95" spans="1:19">
      <c r="A95" s="193"/>
      <c r="B95" s="79">
        <v>2</v>
      </c>
      <c r="C95" s="199">
        <f>IF(C94=1,txt!B258,0)</f>
        <v>0</v>
      </c>
      <c r="D95" s="201"/>
      <c r="E95" s="208">
        <f>'31cCH'!$A$19</f>
        <v>0</v>
      </c>
      <c r="F95" s="201"/>
      <c r="G95" s="79">
        <f>'31cCH'!$D$19</f>
        <v>0</v>
      </c>
      <c r="H95" s="79">
        <f>'31cCH'!$E$19</f>
        <v>0</v>
      </c>
      <c r="I95" s="201"/>
      <c r="J95" s="201"/>
      <c r="K95" s="201"/>
      <c r="L95" s="201"/>
      <c r="M95" s="201"/>
      <c r="N95" s="201"/>
      <c r="O95" s="201"/>
      <c r="P95" s="201"/>
      <c r="Q95" s="201"/>
      <c r="R95" s="201"/>
      <c r="S95" s="201"/>
    </row>
    <row r="96" spans="1:19">
      <c r="A96" s="193"/>
      <c r="B96" s="79">
        <v>3</v>
      </c>
      <c r="C96" s="199">
        <f>IF(C94=1,txt!B258,0)</f>
        <v>0</v>
      </c>
      <c r="D96" s="201"/>
      <c r="E96" s="208">
        <f>'31cCH'!$A$21</f>
        <v>0</v>
      </c>
      <c r="F96" s="201"/>
      <c r="G96" s="79">
        <f>'31cCH'!$D$21</f>
        <v>0</v>
      </c>
      <c r="H96" s="79">
        <f>'31cCH'!$E$21</f>
        <v>0</v>
      </c>
      <c r="I96" s="201"/>
      <c r="J96" s="201"/>
      <c r="K96" s="201"/>
      <c r="L96" s="201"/>
      <c r="M96" s="201"/>
      <c r="N96" s="201"/>
      <c r="O96" s="201"/>
      <c r="P96" s="201"/>
      <c r="Q96" s="201"/>
      <c r="R96" s="201"/>
      <c r="S96" s="201"/>
    </row>
    <row r="97" spans="1:19">
      <c r="A97" s="193" t="s">
        <v>293</v>
      </c>
      <c r="B97" s="79">
        <v>1</v>
      </c>
      <c r="C97" s="79">
        <f>Steuerung!A27*Steuerung!B29*Steuerung!C29*Steuerung!E29</f>
        <v>0</v>
      </c>
      <c r="D97" s="210">
        <f>'0'!$D$11*'0'!$D$20*'3'!$C$13*'3'!$E$13</f>
        <v>0</v>
      </c>
      <c r="E97" s="208">
        <f>'31cEX'!$A$17</f>
        <v>0</v>
      </c>
      <c r="F97" s="79">
        <f>'31cEX'!$G$17</f>
        <v>0</v>
      </c>
      <c r="G97" s="195">
        <f>'31cEX'!$H$17</f>
        <v>0</v>
      </c>
      <c r="H97" s="195">
        <f>'31cEX'!$I$17</f>
        <v>0</v>
      </c>
      <c r="I97" s="201"/>
      <c r="J97" s="201"/>
      <c r="K97" s="201"/>
      <c r="L97" s="201"/>
      <c r="M97" s="201"/>
      <c r="N97" s="201"/>
      <c r="O97" s="201"/>
      <c r="P97" s="201"/>
      <c r="Q97" s="79">
        <f>'31cEX'!$A$31</f>
        <v>0</v>
      </c>
      <c r="R97" s="201"/>
      <c r="S97" s="201"/>
    </row>
    <row r="98" spans="1:19">
      <c r="A98" s="193"/>
      <c r="B98" s="79">
        <v>2</v>
      </c>
      <c r="C98" s="199">
        <f>IF(C97=1,txt!B258,0)</f>
        <v>0</v>
      </c>
      <c r="D98" s="201"/>
      <c r="E98" s="208">
        <f>'31cEX'!$A$19</f>
        <v>0</v>
      </c>
      <c r="F98" s="79">
        <f>'31cEX'!$G$19</f>
        <v>0</v>
      </c>
      <c r="G98" s="195">
        <f>'31cEX'!$H$19</f>
        <v>0</v>
      </c>
      <c r="H98" s="195">
        <f>'31cEX'!$I$19</f>
        <v>0</v>
      </c>
      <c r="I98" s="201"/>
      <c r="J98" s="201"/>
      <c r="K98" s="201"/>
      <c r="L98" s="201"/>
      <c r="M98" s="201"/>
      <c r="N98" s="201"/>
      <c r="O98" s="201"/>
      <c r="P98" s="201"/>
      <c r="Q98" s="201"/>
      <c r="R98" s="201"/>
      <c r="S98" s="201"/>
    </row>
    <row r="99" spans="1:19">
      <c r="A99" s="193"/>
      <c r="B99" s="79">
        <v>3</v>
      </c>
      <c r="C99" s="199">
        <f>IF(C97=1,txt!B258,0)</f>
        <v>0</v>
      </c>
      <c r="D99" s="201"/>
      <c r="E99" s="208">
        <f>'31cEX'!$A$21</f>
        <v>0</v>
      </c>
      <c r="F99" s="79">
        <f>'31cEX'!$G$21</f>
        <v>0</v>
      </c>
      <c r="G99" s="195">
        <f>'31cEX'!$H$21</f>
        <v>0</v>
      </c>
      <c r="H99" s="195">
        <f>'31cEX'!$I$21</f>
        <v>0</v>
      </c>
      <c r="I99" s="201"/>
      <c r="J99" s="201"/>
      <c r="K99" s="201"/>
      <c r="L99" s="201"/>
      <c r="M99" s="201"/>
      <c r="N99" s="201"/>
      <c r="O99" s="201"/>
      <c r="P99" s="201"/>
      <c r="Q99" s="201"/>
      <c r="R99" s="201"/>
      <c r="S99" s="201"/>
    </row>
    <row r="100" spans="1:19">
      <c r="A100" s="193" t="s">
        <v>595</v>
      </c>
      <c r="B100" s="79" t="str">
        <f>txt!B111</f>
        <v>Run</v>
      </c>
      <c r="C100" s="79">
        <f>Steuerung!A27*Steuerung!B29*Steuerung!C31</f>
        <v>0</v>
      </c>
      <c r="D100" s="210">
        <f>'0'!$D$11*'0'!$D$20*'3'!$C$13*(1-'3'!$E$13)</f>
        <v>0</v>
      </c>
      <c r="E100" s="227" t="str">
        <f>'31hCH'!A$17</f>
        <v>z.B. Junior (Erste IT-Kenntnisse)</v>
      </c>
      <c r="F100" s="201"/>
      <c r="G100" s="79">
        <f t="shared" ref="G100:G109" si="21">J100*(1-L100)</f>
        <v>0</v>
      </c>
      <c r="H100" s="79">
        <f t="shared" ref="H100:H109" si="22">K100*(1-M100)</f>
        <v>0</v>
      </c>
      <c r="I100" s="196">
        <f>'31hCH'!C$17</f>
        <v>0</v>
      </c>
      <c r="J100" s="210">
        <f>'31hCH'!E$17</f>
        <v>0</v>
      </c>
      <c r="K100" s="210">
        <f>'31hCH'!F$17</f>
        <v>0</v>
      </c>
      <c r="L100" s="210">
        <f>'31hCH'!H$17</f>
        <v>0</v>
      </c>
      <c r="M100" s="210">
        <f>'31hCH'!I$17</f>
        <v>0</v>
      </c>
      <c r="N100" s="201"/>
      <c r="O100" s="201"/>
      <c r="P100" s="201"/>
      <c r="Q100" s="79">
        <f>'11hCH'!A$50</f>
        <v>0</v>
      </c>
      <c r="R100" s="201"/>
      <c r="S100" s="201"/>
    </row>
    <row r="101" spans="1:19">
      <c r="A101" s="193"/>
      <c r="B101" s="79" t="str">
        <f t="shared" ref="B101:B104" si="23">B100</f>
        <v>Run</v>
      </c>
      <c r="C101" s="199">
        <f>IF(C100=1,txt!B258,0)</f>
        <v>0</v>
      </c>
      <c r="D101" s="201"/>
      <c r="E101" s="227" t="str">
        <f>'31hCH'!A$19</f>
        <v>z.B. Professional (3 oder mehr Jahre Berufserfahrung)</v>
      </c>
      <c r="F101" s="201"/>
      <c r="G101" s="79">
        <f t="shared" si="21"/>
        <v>0</v>
      </c>
      <c r="H101" s="79">
        <f t="shared" si="22"/>
        <v>0</v>
      </c>
      <c r="I101" s="196">
        <f>'31hCH'!C$19</f>
        <v>0</v>
      </c>
      <c r="J101" s="210">
        <f>'31hCH'!E$19</f>
        <v>0</v>
      </c>
      <c r="K101" s="210">
        <f>'31hCH'!F$19</f>
        <v>0</v>
      </c>
      <c r="L101" s="210">
        <f>'31hCH'!H$19</f>
        <v>0</v>
      </c>
      <c r="M101" s="210">
        <f>'31hCH'!I$19</f>
        <v>0</v>
      </c>
      <c r="N101" s="201"/>
      <c r="O101" s="201"/>
      <c r="P101" s="201"/>
      <c r="Q101" s="201"/>
      <c r="R101" s="201"/>
      <c r="S101" s="201"/>
    </row>
    <row r="102" spans="1:19">
      <c r="A102" s="193"/>
      <c r="B102" s="79" t="str">
        <f t="shared" si="23"/>
        <v>Run</v>
      </c>
      <c r="C102" s="199">
        <f>IF(C100=1,txt!B258,0)</f>
        <v>0</v>
      </c>
      <c r="D102" s="201"/>
      <c r="E102" s="227" t="str">
        <f>'31hCH'!A$21</f>
        <v>z.B. Senior (5 oder mehr Jahre Berufserfahrung)</v>
      </c>
      <c r="F102" s="201"/>
      <c r="G102" s="79">
        <f t="shared" si="21"/>
        <v>0</v>
      </c>
      <c r="H102" s="79">
        <f t="shared" si="22"/>
        <v>0</v>
      </c>
      <c r="I102" s="196">
        <f>'31hCH'!C$21</f>
        <v>0</v>
      </c>
      <c r="J102" s="210">
        <f>'31hCH'!E$21</f>
        <v>0</v>
      </c>
      <c r="K102" s="210">
        <f>'31hCH'!F$21</f>
        <v>0</v>
      </c>
      <c r="L102" s="210">
        <f>'31hCH'!H$21</f>
        <v>0</v>
      </c>
      <c r="M102" s="210">
        <f>'31hCH'!I$21</f>
        <v>0</v>
      </c>
      <c r="N102" s="201"/>
      <c r="O102" s="201"/>
      <c r="P102" s="201"/>
      <c r="Q102" s="201"/>
      <c r="R102" s="201"/>
      <c r="S102" s="201"/>
    </row>
    <row r="103" spans="1:19">
      <c r="A103" s="193"/>
      <c r="B103" s="79" t="str">
        <f t="shared" si="23"/>
        <v>Run</v>
      </c>
      <c r="C103" s="199">
        <f>IF(C100=1,txt!B258,0)</f>
        <v>0</v>
      </c>
      <c r="D103" s="201"/>
      <c r="E103" s="227">
        <f>'31hCH'!A$23</f>
        <v>0</v>
      </c>
      <c r="F103" s="201"/>
      <c r="G103" s="79">
        <f t="shared" si="21"/>
        <v>0</v>
      </c>
      <c r="H103" s="79">
        <f t="shared" si="22"/>
        <v>0</v>
      </c>
      <c r="I103" s="196">
        <f>'31hCH'!C$23</f>
        <v>0</v>
      </c>
      <c r="J103" s="210">
        <f>'31hCH'!E$23</f>
        <v>0</v>
      </c>
      <c r="K103" s="210">
        <f>'31hCH'!F$23</f>
        <v>0</v>
      </c>
      <c r="L103" s="210">
        <f>'31hCH'!H$23</f>
        <v>0</v>
      </c>
      <c r="M103" s="210">
        <f>'31hCH'!I$23</f>
        <v>0</v>
      </c>
      <c r="N103" s="201"/>
      <c r="O103" s="201"/>
      <c r="P103" s="201"/>
      <c r="Q103" s="201"/>
      <c r="R103" s="201"/>
      <c r="S103" s="201"/>
    </row>
    <row r="104" spans="1:19">
      <c r="A104" s="193"/>
      <c r="B104" s="79" t="str">
        <f t="shared" si="23"/>
        <v>Run</v>
      </c>
      <c r="C104" s="199">
        <f>IF(C100=1,txt!B258,0)</f>
        <v>0</v>
      </c>
      <c r="D104" s="201"/>
      <c r="E104" s="227">
        <f>'31hCH'!A$25</f>
        <v>0</v>
      </c>
      <c r="F104" s="201"/>
      <c r="G104" s="79">
        <f t="shared" si="21"/>
        <v>0</v>
      </c>
      <c r="H104" s="79">
        <f t="shared" si="22"/>
        <v>0</v>
      </c>
      <c r="I104" s="196">
        <f>'31hCH'!C$25</f>
        <v>0</v>
      </c>
      <c r="J104" s="210">
        <f>'31hCH'!E$25</f>
        <v>0</v>
      </c>
      <c r="K104" s="210">
        <f>'31hCH'!F$25</f>
        <v>0</v>
      </c>
      <c r="L104" s="210">
        <f>'31hCH'!H$25</f>
        <v>0</v>
      </c>
      <c r="M104" s="210">
        <f>'31hCH'!I$25</f>
        <v>0</v>
      </c>
      <c r="N104" s="201"/>
      <c r="O104" s="201"/>
      <c r="P104" s="201"/>
      <c r="Q104" s="201"/>
      <c r="R104" s="201"/>
      <c r="S104" s="201"/>
    </row>
    <row r="105" spans="1:19">
      <c r="A105" s="193" t="s">
        <v>596</v>
      </c>
      <c r="B105" s="79" t="str">
        <f>B100</f>
        <v>Run</v>
      </c>
      <c r="C105" s="79">
        <f>Steuerung!A27*Steuerung!B29*Steuerung!C31*Steuerung!E31</f>
        <v>0</v>
      </c>
      <c r="D105" s="210">
        <f>'0'!$D$11*'0'!$D$20*'3'!$C$13*'3'!$E$13</f>
        <v>0</v>
      </c>
      <c r="E105" s="227" t="str">
        <f>'31hEX'!A$17</f>
        <v>z.B. Junior (Erste IT-Kenntnisse)</v>
      </c>
      <c r="F105" s="210">
        <f>'31hEX'!D$17</f>
        <v>0</v>
      </c>
      <c r="G105" s="79">
        <f t="shared" si="21"/>
        <v>0</v>
      </c>
      <c r="H105" s="79">
        <f t="shared" si="22"/>
        <v>0</v>
      </c>
      <c r="I105" s="196">
        <f>'31hEX'!C$17</f>
        <v>0</v>
      </c>
      <c r="J105" s="210">
        <f>'31hEX'!E$17</f>
        <v>0</v>
      </c>
      <c r="K105" s="210">
        <f>'31hEX'!F$17</f>
        <v>0</v>
      </c>
      <c r="L105" s="210">
        <f>'31hEX'!H$17</f>
        <v>0</v>
      </c>
      <c r="M105" s="210">
        <f>'31hEX'!I$17</f>
        <v>0</v>
      </c>
      <c r="N105" s="201"/>
      <c r="O105" s="201"/>
      <c r="P105" s="201"/>
      <c r="Q105" s="79">
        <f>'31hEX'!A$50</f>
        <v>0</v>
      </c>
      <c r="R105" s="201"/>
      <c r="S105" s="201"/>
    </row>
    <row r="106" spans="1:19">
      <c r="A106" s="193"/>
      <c r="B106" s="79" t="str">
        <f t="shared" ref="B106:B109" si="24">B105</f>
        <v>Run</v>
      </c>
      <c r="C106" s="199">
        <f>IF(C105=1,txt!B258,0)</f>
        <v>0</v>
      </c>
      <c r="D106" s="201"/>
      <c r="E106" s="227" t="str">
        <f>'31hEX'!A$19</f>
        <v>z.B. Professional (3 oder mehr Jahre Berufserfahrung)</v>
      </c>
      <c r="F106" s="210" t="str">
        <f>'31hEX'!D$19</f>
        <v/>
      </c>
      <c r="G106" s="79">
        <f t="shared" si="21"/>
        <v>0</v>
      </c>
      <c r="H106" s="79">
        <f t="shared" si="22"/>
        <v>0</v>
      </c>
      <c r="I106" s="196">
        <f>'31hEX'!C$19</f>
        <v>0</v>
      </c>
      <c r="J106" s="210">
        <f>'31hEX'!E$19</f>
        <v>0</v>
      </c>
      <c r="K106" s="210">
        <f>'31hEX'!F$19</f>
        <v>0</v>
      </c>
      <c r="L106" s="210">
        <f>'31hEX'!H$19</f>
        <v>0</v>
      </c>
      <c r="M106" s="210">
        <f>'31hEX'!I$19</f>
        <v>0</v>
      </c>
      <c r="N106" s="201"/>
      <c r="O106" s="201"/>
      <c r="P106" s="201"/>
      <c r="Q106" s="201"/>
      <c r="R106" s="201"/>
      <c r="S106" s="201"/>
    </row>
    <row r="107" spans="1:19">
      <c r="A107" s="193"/>
      <c r="B107" s="79" t="str">
        <f t="shared" si="24"/>
        <v>Run</v>
      </c>
      <c r="C107" s="199">
        <f>IF(C105=1,txt!B258,0)</f>
        <v>0</v>
      </c>
      <c r="D107" s="201"/>
      <c r="E107" s="227" t="str">
        <f>'31hEX'!A$21</f>
        <v>z.B. Senior (5 oder mehr Jahre Berufserfahrung)</v>
      </c>
      <c r="F107" s="210" t="str">
        <f>'31hEX'!D$21</f>
        <v/>
      </c>
      <c r="G107" s="79">
        <f t="shared" si="21"/>
        <v>0</v>
      </c>
      <c r="H107" s="79">
        <f t="shared" si="22"/>
        <v>0</v>
      </c>
      <c r="I107" s="196">
        <f>'31hEX'!C$21</f>
        <v>0</v>
      </c>
      <c r="J107" s="210">
        <f>'31hEX'!E$21</f>
        <v>0</v>
      </c>
      <c r="K107" s="210">
        <f>'31hEX'!F$21</f>
        <v>0</v>
      </c>
      <c r="L107" s="210">
        <f>'31hEX'!H$21</f>
        <v>0</v>
      </c>
      <c r="M107" s="210">
        <f>'31hEX'!I$21</f>
        <v>0</v>
      </c>
      <c r="N107" s="201"/>
      <c r="O107" s="201"/>
      <c r="P107" s="201"/>
      <c r="Q107" s="201"/>
      <c r="R107" s="201"/>
      <c r="S107" s="201"/>
    </row>
    <row r="108" spans="1:19">
      <c r="A108" s="193"/>
      <c r="B108" s="79" t="str">
        <f t="shared" si="24"/>
        <v>Run</v>
      </c>
      <c r="C108" s="199">
        <f>IF(C105=1,txt!B258,0)</f>
        <v>0</v>
      </c>
      <c r="D108" s="201"/>
      <c r="E108" s="227">
        <f>'31hEX'!A$23</f>
        <v>0</v>
      </c>
      <c r="F108" s="210" t="str">
        <f>'31hEX'!D$23</f>
        <v/>
      </c>
      <c r="G108" s="79">
        <f t="shared" si="21"/>
        <v>0</v>
      </c>
      <c r="H108" s="79">
        <f t="shared" si="22"/>
        <v>0</v>
      </c>
      <c r="I108" s="196">
        <f>'31hEX'!C$23</f>
        <v>0</v>
      </c>
      <c r="J108" s="210">
        <f>'31hEX'!E$23</f>
        <v>0</v>
      </c>
      <c r="K108" s="210">
        <f>'31hEX'!F$23</f>
        <v>0</v>
      </c>
      <c r="L108" s="210">
        <f>'31hEX'!H$23</f>
        <v>0</v>
      </c>
      <c r="M108" s="210">
        <f>'31hEX'!I$23</f>
        <v>0</v>
      </c>
      <c r="N108" s="201"/>
      <c r="O108" s="201"/>
      <c r="P108" s="201"/>
      <c r="Q108" s="201"/>
      <c r="R108" s="201"/>
      <c r="S108" s="201"/>
    </row>
    <row r="109" spans="1:19">
      <c r="A109" s="193"/>
      <c r="B109" s="79" t="str">
        <f t="shared" si="24"/>
        <v>Run</v>
      </c>
      <c r="C109" s="199">
        <f>IF(C105=1,txt!B258,0)</f>
        <v>0</v>
      </c>
      <c r="D109" s="201"/>
      <c r="E109" s="227">
        <f>'31hEX'!A$25</f>
        <v>0</v>
      </c>
      <c r="F109" s="210" t="str">
        <f>'31hEX'!D$25</f>
        <v/>
      </c>
      <c r="G109" s="79">
        <f t="shared" si="21"/>
        <v>0</v>
      </c>
      <c r="H109" s="79">
        <f t="shared" si="22"/>
        <v>0</v>
      </c>
      <c r="I109" s="196">
        <f>'31hEX'!C$25</f>
        <v>0</v>
      </c>
      <c r="J109" s="210">
        <f>'31hEX'!E$25</f>
        <v>0</v>
      </c>
      <c r="K109" s="210">
        <f>'31hEX'!F$25</f>
        <v>0</v>
      </c>
      <c r="L109" s="210">
        <f>'31hEX'!H$25</f>
        <v>0</v>
      </c>
      <c r="M109" s="210">
        <f>'31hEX'!I$25</f>
        <v>0</v>
      </c>
      <c r="N109" s="201"/>
      <c r="O109" s="201"/>
      <c r="P109" s="201"/>
      <c r="Q109" s="201"/>
      <c r="R109" s="201"/>
      <c r="S109" s="201"/>
    </row>
    <row r="110" spans="1:19">
      <c r="A110" s="193" t="s">
        <v>291</v>
      </c>
      <c r="B110" s="79" t="s">
        <v>602</v>
      </c>
      <c r="C110" s="79">
        <f>Steuerung!A27*Steuerung!B33*Steuerung!C33</f>
        <v>0</v>
      </c>
      <c r="D110" s="210">
        <f>'0'!$D$11*'0'!$D$20*'3'!$C$15*(1-'3'!$E$15)</f>
        <v>0</v>
      </c>
      <c r="E110" s="208">
        <f>'32t'!A17</f>
        <v>0</v>
      </c>
      <c r="F110" s="201"/>
      <c r="G110" s="79">
        <f>'32t'!D17</f>
        <v>0</v>
      </c>
      <c r="H110" s="79">
        <f>'32t'!E17</f>
        <v>0</v>
      </c>
      <c r="I110" s="201"/>
      <c r="J110" s="201"/>
      <c r="K110" s="201"/>
      <c r="L110" s="201"/>
      <c r="M110" s="201"/>
      <c r="N110" s="201"/>
      <c r="O110" s="201"/>
      <c r="P110" s="201"/>
      <c r="Q110" s="79">
        <f>'32t'!A24</f>
        <v>0</v>
      </c>
      <c r="R110" s="201"/>
      <c r="S110" s="201"/>
    </row>
    <row r="111" spans="1:19">
      <c r="A111" s="193"/>
      <c r="B111" s="79" t="s">
        <v>603</v>
      </c>
      <c r="C111" s="79">
        <f>Steuerung!A27*Steuerung!B33*Steuerung!C33*Steuerung!E33</f>
        <v>0</v>
      </c>
      <c r="D111" s="210">
        <f>'0'!$D$11*'0'!$D$20*'3'!$C$15*'3'!$E$15</f>
        <v>0</v>
      </c>
      <c r="E111" s="228"/>
      <c r="F111" s="79">
        <f>'32t'!G17</f>
        <v>0</v>
      </c>
      <c r="G111" s="195">
        <f>'32t'!H17</f>
        <v>0</v>
      </c>
      <c r="H111" s="195">
        <f>'32t'!I17</f>
        <v>0</v>
      </c>
      <c r="I111" s="201"/>
      <c r="J111" s="201"/>
      <c r="K111" s="201"/>
      <c r="L111" s="201"/>
      <c r="M111" s="201"/>
      <c r="N111" s="201"/>
      <c r="O111" s="201"/>
      <c r="P111" s="201"/>
      <c r="Q111" s="201"/>
      <c r="R111" s="201"/>
      <c r="S111" s="201"/>
    </row>
    <row r="112" spans="1:19">
      <c r="A112" s="193" t="s">
        <v>605</v>
      </c>
      <c r="B112" s="79" t="str">
        <f>txt!B111</f>
        <v>Run</v>
      </c>
      <c r="C112" s="79">
        <f>Steuerung!A27*Steuerung!B33*Steuerung!C35</f>
        <v>0</v>
      </c>
      <c r="D112" s="210">
        <f>'0'!$D$11*'0'!$D$20*'3'!$C$15*(1-'3'!$E$15)</f>
        <v>0</v>
      </c>
      <c r="E112" s="227" t="str">
        <f>'32hCH'!A$17</f>
        <v>z.B. Junior (Erste IT-Kenntnisse)</v>
      </c>
      <c r="F112" s="201"/>
      <c r="G112" s="79">
        <f t="shared" ref="G112:G121" si="25">J112*(1-L112)</f>
        <v>0</v>
      </c>
      <c r="H112" s="79">
        <f t="shared" ref="H112:H121" si="26">K112*(1-M112)</f>
        <v>0</v>
      </c>
      <c r="I112" s="196">
        <f>'32hCH'!C$17</f>
        <v>0</v>
      </c>
      <c r="J112" s="210">
        <f>'32hCH'!E$17</f>
        <v>0</v>
      </c>
      <c r="K112" s="210">
        <f>'32hCH'!F$17</f>
        <v>0</v>
      </c>
      <c r="L112" s="210">
        <f>'32hCH'!H$17</f>
        <v>0</v>
      </c>
      <c r="M112" s="210">
        <f>'32hCH'!I$17</f>
        <v>0</v>
      </c>
      <c r="N112" s="201"/>
      <c r="O112" s="201"/>
      <c r="P112" s="201"/>
      <c r="Q112" s="79">
        <f>'11hCH'!A$50</f>
        <v>0</v>
      </c>
      <c r="R112" s="201"/>
      <c r="S112" s="201"/>
    </row>
    <row r="113" spans="1:19">
      <c r="A113" s="193"/>
      <c r="B113" s="79" t="str">
        <f t="shared" ref="B113:B116" si="27">B112</f>
        <v>Run</v>
      </c>
      <c r="C113" s="199">
        <f>IF(C112=1,txt!B258,0)</f>
        <v>0</v>
      </c>
      <c r="D113" s="201"/>
      <c r="E113" s="227" t="str">
        <f>'32hCH'!A$19</f>
        <v>z.B. Professional (3 oder mehr Jahre Berufserfahrung)</v>
      </c>
      <c r="F113" s="201"/>
      <c r="G113" s="79">
        <f t="shared" si="25"/>
        <v>0</v>
      </c>
      <c r="H113" s="79">
        <f t="shared" si="26"/>
        <v>0</v>
      </c>
      <c r="I113" s="196">
        <f>'32hCH'!C$19</f>
        <v>0</v>
      </c>
      <c r="J113" s="210">
        <f>'32hCH'!E$19</f>
        <v>0</v>
      </c>
      <c r="K113" s="210">
        <f>'32hCH'!F$19</f>
        <v>0</v>
      </c>
      <c r="L113" s="210">
        <f>'32hCH'!H$19</f>
        <v>0</v>
      </c>
      <c r="M113" s="210">
        <f>'32hCH'!I$19</f>
        <v>0</v>
      </c>
      <c r="N113" s="201"/>
      <c r="O113" s="201"/>
      <c r="P113" s="201"/>
      <c r="Q113" s="201"/>
      <c r="R113" s="201"/>
      <c r="S113" s="201"/>
    </row>
    <row r="114" spans="1:19">
      <c r="A114" s="193"/>
      <c r="B114" s="79" t="str">
        <f t="shared" si="27"/>
        <v>Run</v>
      </c>
      <c r="C114" s="199">
        <f>IF(C112=1,txt!B258,0)</f>
        <v>0</v>
      </c>
      <c r="D114" s="201"/>
      <c r="E114" s="227" t="str">
        <f>'32hCH'!A$21</f>
        <v>z.B. Senior (5 oder mehr Jahre Berufserfahrung)</v>
      </c>
      <c r="F114" s="201"/>
      <c r="G114" s="79">
        <f t="shared" si="25"/>
        <v>0</v>
      </c>
      <c r="H114" s="79">
        <f t="shared" si="26"/>
        <v>0</v>
      </c>
      <c r="I114" s="196">
        <f>'32hCH'!C$21</f>
        <v>0</v>
      </c>
      <c r="J114" s="210">
        <f>'32hCH'!E$21</f>
        <v>0</v>
      </c>
      <c r="K114" s="210">
        <f>'32hCH'!F$21</f>
        <v>0</v>
      </c>
      <c r="L114" s="210">
        <f>'32hCH'!H$21</f>
        <v>0</v>
      </c>
      <c r="M114" s="210">
        <f>'32hCH'!I$21</f>
        <v>0</v>
      </c>
      <c r="N114" s="201"/>
      <c r="O114" s="201"/>
      <c r="P114" s="201"/>
      <c r="Q114" s="201"/>
      <c r="R114" s="201"/>
      <c r="S114" s="201"/>
    </row>
    <row r="115" spans="1:19">
      <c r="A115" s="193"/>
      <c r="B115" s="79" t="str">
        <f t="shared" si="27"/>
        <v>Run</v>
      </c>
      <c r="C115" s="199">
        <f>IF(C112=1,txt!B258,0)</f>
        <v>0</v>
      </c>
      <c r="D115" s="201"/>
      <c r="E115" s="227">
        <f>'32hCH'!A$23</f>
        <v>0</v>
      </c>
      <c r="F115" s="201"/>
      <c r="G115" s="79">
        <f t="shared" si="25"/>
        <v>0</v>
      </c>
      <c r="H115" s="79">
        <f t="shared" si="26"/>
        <v>0</v>
      </c>
      <c r="I115" s="196">
        <f>'32hCH'!C$23</f>
        <v>0</v>
      </c>
      <c r="J115" s="210">
        <f>'32hCH'!E$23</f>
        <v>0</v>
      </c>
      <c r="K115" s="210">
        <f>'32hCH'!F$23</f>
        <v>0</v>
      </c>
      <c r="L115" s="210">
        <f>'32hCH'!H$23</f>
        <v>0</v>
      </c>
      <c r="M115" s="210">
        <f>'32hCH'!I$23</f>
        <v>0</v>
      </c>
      <c r="N115" s="201"/>
      <c r="O115" s="201"/>
      <c r="P115" s="201"/>
      <c r="Q115" s="201"/>
      <c r="R115" s="201"/>
      <c r="S115" s="201"/>
    </row>
    <row r="116" spans="1:19">
      <c r="A116" s="193"/>
      <c r="B116" s="79" t="str">
        <f t="shared" si="27"/>
        <v>Run</v>
      </c>
      <c r="C116" s="199">
        <f>IF(C112=1,txt!B258,0)</f>
        <v>0</v>
      </c>
      <c r="D116" s="201"/>
      <c r="E116" s="227">
        <f>'32hCH'!A$25</f>
        <v>0</v>
      </c>
      <c r="F116" s="201"/>
      <c r="G116" s="79">
        <f t="shared" si="25"/>
        <v>0</v>
      </c>
      <c r="H116" s="79">
        <f t="shared" si="26"/>
        <v>0</v>
      </c>
      <c r="I116" s="196">
        <f>'32hCH'!C$25</f>
        <v>0</v>
      </c>
      <c r="J116" s="210">
        <f>'32hCH'!E$25</f>
        <v>0</v>
      </c>
      <c r="K116" s="210">
        <f>'32hCH'!F$25</f>
        <v>0</v>
      </c>
      <c r="L116" s="210">
        <f>'32hCH'!H$25</f>
        <v>0</v>
      </c>
      <c r="M116" s="210">
        <f>'32hCH'!I$25</f>
        <v>0</v>
      </c>
      <c r="N116" s="201"/>
      <c r="O116" s="201"/>
      <c r="P116" s="201"/>
      <c r="Q116" s="201"/>
      <c r="R116" s="201"/>
      <c r="S116" s="201"/>
    </row>
    <row r="117" spans="1:19">
      <c r="A117" s="193" t="s">
        <v>606</v>
      </c>
      <c r="B117" s="79" t="str">
        <f>B112</f>
        <v>Run</v>
      </c>
      <c r="C117" s="79">
        <f>Steuerung!A27*Steuerung!B33*Steuerung!C35*Steuerung!E35</f>
        <v>0</v>
      </c>
      <c r="D117" s="210">
        <f>'0'!$D$11*'0'!$D$20*'3'!$C$15*'3'!$E$15</f>
        <v>0</v>
      </c>
      <c r="E117" s="227" t="str">
        <f>'32hEX'!A$17</f>
        <v>z.B. Junior (Erste IT-Kenntnisse)</v>
      </c>
      <c r="F117" s="210">
        <f>'32hEX'!D$17</f>
        <v>0</v>
      </c>
      <c r="G117" s="79">
        <f t="shared" si="25"/>
        <v>0</v>
      </c>
      <c r="H117" s="79">
        <f t="shared" si="26"/>
        <v>0</v>
      </c>
      <c r="I117" s="196">
        <f>'32hEX'!C$17</f>
        <v>0</v>
      </c>
      <c r="J117" s="210">
        <f>'32hEX'!E$17</f>
        <v>0</v>
      </c>
      <c r="K117" s="210">
        <f>'32hEX'!F$17</f>
        <v>0</v>
      </c>
      <c r="L117" s="210">
        <f>'32hEX'!H$17</f>
        <v>0</v>
      </c>
      <c r="M117" s="210">
        <f>'32hEX'!I$17</f>
        <v>0</v>
      </c>
      <c r="N117" s="201"/>
      <c r="O117" s="201"/>
      <c r="P117" s="201"/>
      <c r="Q117" s="79">
        <f>'32hEX'!A$50</f>
        <v>0</v>
      </c>
      <c r="R117" s="201"/>
      <c r="S117" s="201"/>
    </row>
    <row r="118" spans="1:19">
      <c r="A118" s="193"/>
      <c r="B118" s="79" t="str">
        <f t="shared" ref="B118:B121" si="28">B117</f>
        <v>Run</v>
      </c>
      <c r="C118" s="199">
        <f>IF(C117=1,txt!B258,0)</f>
        <v>0</v>
      </c>
      <c r="D118" s="201"/>
      <c r="E118" s="227" t="str">
        <f>'32hEX'!A$19</f>
        <v>z.B. Professional (3 oder mehr Jahre Berufserfahrung)</v>
      </c>
      <c r="F118" s="210" t="str">
        <f>'32hEX'!D$19</f>
        <v/>
      </c>
      <c r="G118" s="79">
        <f t="shared" si="25"/>
        <v>0</v>
      </c>
      <c r="H118" s="79">
        <f t="shared" si="26"/>
        <v>0</v>
      </c>
      <c r="I118" s="196">
        <f>'32hEX'!C$19</f>
        <v>0</v>
      </c>
      <c r="J118" s="210">
        <f>'32hEX'!E$19</f>
        <v>0</v>
      </c>
      <c r="K118" s="210">
        <f>'32hEX'!F$19</f>
        <v>0</v>
      </c>
      <c r="L118" s="210">
        <f>'32hEX'!H$19</f>
        <v>0</v>
      </c>
      <c r="M118" s="210">
        <f>'32hEX'!I$19</f>
        <v>0</v>
      </c>
      <c r="N118" s="201"/>
      <c r="O118" s="201"/>
      <c r="P118" s="201"/>
      <c r="Q118" s="201"/>
      <c r="R118" s="201"/>
      <c r="S118" s="201"/>
    </row>
    <row r="119" spans="1:19">
      <c r="A119" s="193"/>
      <c r="B119" s="79" t="str">
        <f t="shared" si="28"/>
        <v>Run</v>
      </c>
      <c r="C119" s="199">
        <f>IF(C117=1,txt!B258,0)</f>
        <v>0</v>
      </c>
      <c r="D119" s="201"/>
      <c r="E119" s="227" t="str">
        <f>'32hEX'!A$21</f>
        <v>z.B. Senior (5 oder mehr Jahre Berufserfahrung)</v>
      </c>
      <c r="F119" s="210" t="str">
        <f>'32hEX'!D$21</f>
        <v/>
      </c>
      <c r="G119" s="79">
        <f t="shared" si="25"/>
        <v>0</v>
      </c>
      <c r="H119" s="79">
        <f t="shared" si="26"/>
        <v>0</v>
      </c>
      <c r="I119" s="196">
        <f>'32hEX'!C$21</f>
        <v>0</v>
      </c>
      <c r="J119" s="210">
        <f>'32hEX'!E$21</f>
        <v>0</v>
      </c>
      <c r="K119" s="210">
        <f>'32hEX'!F$21</f>
        <v>0</v>
      </c>
      <c r="L119" s="210">
        <f>'32hEX'!H$21</f>
        <v>0</v>
      </c>
      <c r="M119" s="210">
        <f>'32hEX'!I$21</f>
        <v>0</v>
      </c>
      <c r="N119" s="201"/>
      <c r="O119" s="201"/>
      <c r="P119" s="201"/>
      <c r="Q119" s="201"/>
      <c r="R119" s="201"/>
      <c r="S119" s="201"/>
    </row>
    <row r="120" spans="1:19">
      <c r="A120" s="193"/>
      <c r="B120" s="79" t="str">
        <f t="shared" si="28"/>
        <v>Run</v>
      </c>
      <c r="C120" s="199">
        <f>IF(C117=1,txt!B258,0)</f>
        <v>0</v>
      </c>
      <c r="D120" s="201"/>
      <c r="E120" s="227">
        <f>'32hEX'!A$23</f>
        <v>0</v>
      </c>
      <c r="F120" s="210" t="str">
        <f>'32hEX'!D$23</f>
        <v/>
      </c>
      <c r="G120" s="79">
        <f t="shared" si="25"/>
        <v>0</v>
      </c>
      <c r="H120" s="79">
        <f t="shared" si="26"/>
        <v>0</v>
      </c>
      <c r="I120" s="196">
        <f>'32hEX'!C$23</f>
        <v>0</v>
      </c>
      <c r="J120" s="210">
        <f>'32hEX'!E$23</f>
        <v>0</v>
      </c>
      <c r="K120" s="210">
        <f>'32hEX'!F$23</f>
        <v>0</v>
      </c>
      <c r="L120" s="210">
        <f>'32hEX'!H$23</f>
        <v>0</v>
      </c>
      <c r="M120" s="210">
        <f>'32hEX'!I$23</f>
        <v>0</v>
      </c>
      <c r="N120" s="201"/>
      <c r="O120" s="201"/>
      <c r="P120" s="201"/>
      <c r="Q120" s="201"/>
      <c r="R120" s="201"/>
      <c r="S120" s="201"/>
    </row>
    <row r="121" spans="1:19">
      <c r="A121" s="193"/>
      <c r="B121" s="79" t="str">
        <f t="shared" si="28"/>
        <v>Run</v>
      </c>
      <c r="C121" s="199">
        <f>IF(C117=1,txt!B258,0)</f>
        <v>0</v>
      </c>
      <c r="D121" s="201"/>
      <c r="E121" s="227">
        <f>'32hEX'!A$25</f>
        <v>0</v>
      </c>
      <c r="F121" s="210" t="str">
        <f>'32hEX'!D$25</f>
        <v/>
      </c>
      <c r="G121" s="79">
        <f t="shared" si="25"/>
        <v>0</v>
      </c>
      <c r="H121" s="79">
        <f t="shared" si="26"/>
        <v>0</v>
      </c>
      <c r="I121" s="196">
        <f>'32hEX'!C$25</f>
        <v>0</v>
      </c>
      <c r="J121" s="210">
        <f>'32hEX'!E$25</f>
        <v>0</v>
      </c>
      <c r="K121" s="210">
        <f>'32hEX'!F$25</f>
        <v>0</v>
      </c>
      <c r="L121" s="210">
        <f>'32hEX'!H$25</f>
        <v>0</v>
      </c>
      <c r="M121" s="210">
        <f>'32hEX'!I$25</f>
        <v>0</v>
      </c>
      <c r="N121" s="201"/>
      <c r="O121" s="201"/>
      <c r="P121" s="201"/>
      <c r="Q121" s="201"/>
      <c r="R121" s="201"/>
      <c r="S121" s="201"/>
    </row>
    <row r="122" spans="1:19">
      <c r="A122" s="194" t="s">
        <v>295</v>
      </c>
      <c r="B122" s="79" t="s">
        <v>602</v>
      </c>
      <c r="C122" s="79">
        <f>Steuerung!A38*Steuerung!B39*Steuerung!C39</f>
        <v>0</v>
      </c>
      <c r="D122" s="210">
        <f>'0'!$D$11*'0'!$D$22*'4'!$C$13*(1-'4'!$E$13)</f>
        <v>0</v>
      </c>
      <c r="E122" s="208">
        <f>'41t'!$A$17</f>
        <v>0</v>
      </c>
      <c r="F122" s="201"/>
      <c r="G122" s="79">
        <f>'41t'!$D$17</f>
        <v>0</v>
      </c>
      <c r="H122" s="79">
        <f>'41t'!$E$17</f>
        <v>0</v>
      </c>
      <c r="I122" s="201"/>
      <c r="J122" s="201"/>
      <c r="K122" s="201"/>
      <c r="L122" s="201"/>
      <c r="M122" s="201"/>
      <c r="N122" s="201"/>
      <c r="O122" s="201"/>
      <c r="P122" s="201"/>
      <c r="Q122" s="79">
        <f>'41t'!$A$24</f>
        <v>0</v>
      </c>
      <c r="R122" s="201"/>
      <c r="S122" s="201"/>
    </row>
    <row r="123" spans="1:19">
      <c r="A123" s="194"/>
      <c r="B123" s="79" t="s">
        <v>603</v>
      </c>
      <c r="C123" s="79">
        <f>Steuerung!A38*Steuerung!B39*Steuerung!C39*Steuerung!E39</f>
        <v>0</v>
      </c>
      <c r="D123" s="210">
        <f>'0'!$D$11*'0'!$D$22*'4'!$C$13*'4'!$E$13</f>
        <v>0</v>
      </c>
      <c r="E123" s="228"/>
      <c r="F123" s="195">
        <f>'41t'!$G$17</f>
        <v>0</v>
      </c>
      <c r="G123" s="195">
        <f>'41t'!$H$17</f>
        <v>0</v>
      </c>
      <c r="H123" s="195">
        <f>'41t'!$I$17</f>
        <v>0</v>
      </c>
      <c r="I123" s="201"/>
      <c r="J123" s="201"/>
      <c r="K123" s="201"/>
      <c r="L123" s="201"/>
      <c r="M123" s="201"/>
      <c r="N123" s="201"/>
      <c r="O123" s="201"/>
      <c r="P123" s="201"/>
      <c r="Q123" s="201"/>
      <c r="R123" s="201"/>
      <c r="S123" s="201"/>
    </row>
    <row r="124" spans="1:19">
      <c r="A124" s="194" t="s">
        <v>296</v>
      </c>
      <c r="B124" s="79">
        <v>1</v>
      </c>
      <c r="C124" s="79">
        <f>Steuerung!A38*Steuerung!B39*Steuerung!C41</f>
        <v>0</v>
      </c>
      <c r="D124" s="210">
        <f>'0'!$D$11*'0'!$D$22*'4'!$C$13*(1-'4'!$E$13)</f>
        <v>0</v>
      </c>
      <c r="E124" s="208">
        <f>'41uCH'!$A$17</f>
        <v>0</v>
      </c>
      <c r="F124" s="201"/>
      <c r="G124" s="195">
        <f>'41uCH'!$E$17</f>
        <v>0</v>
      </c>
      <c r="H124" s="195">
        <f>'41uCH'!$F$17</f>
        <v>0</v>
      </c>
      <c r="I124" s="201"/>
      <c r="J124" s="201"/>
      <c r="K124" s="201"/>
      <c r="L124" s="201"/>
      <c r="M124" s="201"/>
      <c r="N124" s="201"/>
      <c r="O124" s="201"/>
      <c r="P124" s="79">
        <f>'41uCH'!$C$17</f>
        <v>0</v>
      </c>
      <c r="Q124" s="79">
        <f>'41uCH'!$A$32</f>
        <v>0</v>
      </c>
      <c r="R124" s="201"/>
      <c r="S124" s="201"/>
    </row>
    <row r="125" spans="1:19">
      <c r="A125" s="194"/>
      <c r="B125" s="79">
        <v>2</v>
      </c>
      <c r="C125" s="199">
        <f>IF(C124=1,txt!B258,0)</f>
        <v>0</v>
      </c>
      <c r="D125" s="201"/>
      <c r="E125" s="208">
        <f>'41uCH'!$A$19</f>
        <v>0</v>
      </c>
      <c r="F125" s="201"/>
      <c r="G125" s="195">
        <f>'41uCH'!$E$19</f>
        <v>0</v>
      </c>
      <c r="H125" s="195">
        <f>'41uCH'!$F$19</f>
        <v>0</v>
      </c>
      <c r="I125" s="201"/>
      <c r="J125" s="201"/>
      <c r="K125" s="201"/>
      <c r="L125" s="201"/>
      <c r="M125" s="201"/>
      <c r="N125" s="201"/>
      <c r="O125" s="201"/>
      <c r="P125" s="79">
        <f>'41uCH'!$C$19</f>
        <v>0</v>
      </c>
      <c r="Q125" s="201"/>
      <c r="R125" s="201"/>
      <c r="S125" s="201"/>
    </row>
    <row r="126" spans="1:19">
      <c r="A126" s="194"/>
      <c r="B126" s="79">
        <v>3</v>
      </c>
      <c r="C126" s="199">
        <f>IF(C124=1,txt!B258,0)</f>
        <v>0</v>
      </c>
      <c r="D126" s="201"/>
      <c r="E126" s="208">
        <f>'41uCH'!$A$21</f>
        <v>0</v>
      </c>
      <c r="F126" s="201"/>
      <c r="G126" s="195">
        <f>'41uCH'!$E$21</f>
        <v>0</v>
      </c>
      <c r="H126" s="195">
        <f>'41uCH'!$F$21</f>
        <v>0</v>
      </c>
      <c r="I126" s="201"/>
      <c r="J126" s="201"/>
      <c r="K126" s="201"/>
      <c r="L126" s="201"/>
      <c r="M126" s="201"/>
      <c r="N126" s="201"/>
      <c r="O126" s="201"/>
      <c r="P126" s="79">
        <f>'41uCH'!$C$21</f>
        <v>0</v>
      </c>
      <c r="Q126" s="201"/>
      <c r="R126" s="201"/>
      <c r="S126" s="201"/>
    </row>
    <row r="127" spans="1:19">
      <c r="A127" s="194" t="s">
        <v>297</v>
      </c>
      <c r="B127" s="79">
        <v>1</v>
      </c>
      <c r="C127" s="79">
        <f>Steuerung!A38*Steuerung!B39*Steuerung!C41*Steuerung!E41</f>
        <v>0</v>
      </c>
      <c r="D127" s="210">
        <f>'0'!$D$11*'0'!$D$22*'4'!$C$13*'4'!$E$13</f>
        <v>0</v>
      </c>
      <c r="E127" s="208">
        <f>'41uEX'!$A$17</f>
        <v>0</v>
      </c>
      <c r="F127" s="195">
        <f>'41uEX'!$I$17</f>
        <v>0</v>
      </c>
      <c r="G127" s="195">
        <f>'41uEX'!$J$17</f>
        <v>0</v>
      </c>
      <c r="H127" s="195">
        <f>'41uEX'!$K$17</f>
        <v>0</v>
      </c>
      <c r="I127" s="201"/>
      <c r="J127" s="201"/>
      <c r="K127" s="201"/>
      <c r="L127" s="201"/>
      <c r="M127" s="201"/>
      <c r="N127" s="201"/>
      <c r="O127" s="201"/>
      <c r="P127" s="195">
        <f>'41uEX'!$H$17</f>
        <v>0</v>
      </c>
      <c r="Q127" s="195">
        <f>'41uEX'!$A$32</f>
        <v>0</v>
      </c>
      <c r="R127" s="201"/>
      <c r="S127" s="201"/>
    </row>
    <row r="128" spans="1:19">
      <c r="A128" s="194"/>
      <c r="B128" s="79">
        <v>2</v>
      </c>
      <c r="C128" s="199">
        <f>IF(C127=1,txt!B258,0)</f>
        <v>0</v>
      </c>
      <c r="D128" s="201"/>
      <c r="E128" s="208">
        <f>'41uEX'!$A$19</f>
        <v>0</v>
      </c>
      <c r="F128" s="195">
        <f>'41uEX'!$I$19</f>
        <v>0</v>
      </c>
      <c r="G128" s="195">
        <f>'41uEX'!$J$19</f>
        <v>0</v>
      </c>
      <c r="H128" s="195">
        <f>'41uEX'!$K$19</f>
        <v>0</v>
      </c>
      <c r="I128" s="201"/>
      <c r="J128" s="201"/>
      <c r="K128" s="201"/>
      <c r="L128" s="201"/>
      <c r="M128" s="201"/>
      <c r="N128" s="201"/>
      <c r="O128" s="201"/>
      <c r="P128" s="195">
        <f>'41uEX'!$H$19</f>
        <v>0</v>
      </c>
      <c r="Q128" s="201"/>
      <c r="R128" s="201"/>
      <c r="S128" s="201"/>
    </row>
    <row r="129" spans="1:19">
      <c r="A129" s="194"/>
      <c r="B129" s="79">
        <v>3</v>
      </c>
      <c r="C129" s="199">
        <f>IF(C127=1,txt!B258,0)</f>
        <v>0</v>
      </c>
      <c r="D129" s="201"/>
      <c r="E129" s="208">
        <f>'41uEX'!$A$21</f>
        <v>0</v>
      </c>
      <c r="F129" s="195">
        <f>'41uEX'!$I$21</f>
        <v>0</v>
      </c>
      <c r="G129" s="195">
        <f>'41uEX'!$J$21</f>
        <v>0</v>
      </c>
      <c r="H129" s="195">
        <f>'41uEX'!$K$21</f>
        <v>0</v>
      </c>
      <c r="I129" s="201"/>
      <c r="J129" s="201"/>
      <c r="K129" s="201"/>
      <c r="L129" s="201"/>
      <c r="M129" s="201"/>
      <c r="N129" s="201"/>
      <c r="O129" s="201"/>
      <c r="P129" s="195">
        <f>'41uEX'!$H$21</f>
        <v>0</v>
      </c>
      <c r="Q129" s="201"/>
      <c r="R129" s="201"/>
      <c r="S129" s="201"/>
    </row>
    <row r="130" spans="1:19">
      <c r="A130" s="194" t="s">
        <v>298</v>
      </c>
      <c r="B130" s="79" t="s">
        <v>602</v>
      </c>
      <c r="C130" s="79">
        <f>Steuerung!A38*Steuerung!B43*Steuerung!C43</f>
        <v>0</v>
      </c>
      <c r="D130" s="210">
        <f>'0'!$D$11*'0'!$D$22*'4'!$C$15*(1-'4'!$E$15)</f>
        <v>0</v>
      </c>
      <c r="E130" s="208">
        <f>'42t'!$A$17</f>
        <v>0</v>
      </c>
      <c r="F130" s="201"/>
      <c r="G130" s="79">
        <f>'42t'!$D$17</f>
        <v>0</v>
      </c>
      <c r="H130" s="79">
        <f>'42t'!$E$17</f>
        <v>0</v>
      </c>
      <c r="I130" s="201"/>
      <c r="J130" s="201"/>
      <c r="K130" s="201"/>
      <c r="L130" s="201"/>
      <c r="M130" s="201"/>
      <c r="N130" s="201"/>
      <c r="O130" s="201"/>
      <c r="P130" s="201"/>
      <c r="Q130" s="79">
        <f>'42t'!$A$24</f>
        <v>0</v>
      </c>
      <c r="R130" s="201"/>
      <c r="S130" s="201"/>
    </row>
    <row r="131" spans="1:19">
      <c r="A131" s="194"/>
      <c r="B131" s="79" t="s">
        <v>603</v>
      </c>
      <c r="C131" s="79">
        <f>Steuerung!A38*Steuerung!B43*Steuerung!C43*Steuerung!E43</f>
        <v>0</v>
      </c>
      <c r="D131" s="210">
        <f>'0'!$D$11*'0'!$D$22*'4'!$C$15*'4'!$E$15</f>
        <v>0</v>
      </c>
      <c r="E131" s="228"/>
      <c r="F131" s="195">
        <f>'42t'!$G$17</f>
        <v>0</v>
      </c>
      <c r="G131" s="195">
        <f>'42t'!$H$17</f>
        <v>0</v>
      </c>
      <c r="H131" s="195">
        <f>'42t'!$I$17</f>
        <v>0</v>
      </c>
      <c r="I131" s="201"/>
      <c r="J131" s="201"/>
      <c r="K131" s="201"/>
      <c r="L131" s="201"/>
      <c r="M131" s="201"/>
      <c r="N131" s="201"/>
      <c r="O131" s="201"/>
      <c r="P131" s="201"/>
      <c r="Q131" s="201"/>
      <c r="R131" s="201"/>
      <c r="S131" s="201"/>
    </row>
    <row r="132" spans="1:19">
      <c r="A132" s="194" t="s">
        <v>299</v>
      </c>
      <c r="B132" s="79">
        <v>1</v>
      </c>
      <c r="C132" s="79">
        <f>Steuerung!A38*Steuerung!B43*Steuerung!C45</f>
        <v>0</v>
      </c>
      <c r="D132" s="210">
        <f>'0'!$D$11*'0'!$D$22*'4'!$C$15*(1-'4'!$E$15)</f>
        <v>0</v>
      </c>
      <c r="E132" s="208">
        <f>'42uCH'!$A$17</f>
        <v>0</v>
      </c>
      <c r="F132" s="201"/>
      <c r="G132" s="195">
        <f>'42uCH'!$E$17</f>
        <v>0</v>
      </c>
      <c r="H132" s="195">
        <f>'42uCH'!$F$17</f>
        <v>0</v>
      </c>
      <c r="I132" s="201"/>
      <c r="J132" s="201"/>
      <c r="K132" s="201"/>
      <c r="L132" s="201"/>
      <c r="M132" s="201"/>
      <c r="N132" s="201"/>
      <c r="O132" s="201"/>
      <c r="P132" s="79">
        <f>'42uCH'!$C$17</f>
        <v>0</v>
      </c>
      <c r="Q132" s="79">
        <f>'42uCH'!$A$32</f>
        <v>0</v>
      </c>
      <c r="R132" s="201"/>
      <c r="S132" s="201"/>
    </row>
    <row r="133" spans="1:19">
      <c r="A133" s="194"/>
      <c r="B133" s="79">
        <v>2</v>
      </c>
      <c r="C133" s="199">
        <f>IF(C132=1,txt!B258,0)</f>
        <v>0</v>
      </c>
      <c r="D133" s="201"/>
      <c r="E133" s="208">
        <f>'42uCH'!$A$19</f>
        <v>0</v>
      </c>
      <c r="F133" s="201"/>
      <c r="G133" s="195">
        <f>'42uCH'!$E$19</f>
        <v>0</v>
      </c>
      <c r="H133" s="195">
        <f>'42uCH'!$F$19</f>
        <v>0</v>
      </c>
      <c r="I133" s="201"/>
      <c r="J133" s="201"/>
      <c r="K133" s="201"/>
      <c r="L133" s="201"/>
      <c r="M133" s="201"/>
      <c r="N133" s="201"/>
      <c r="O133" s="201"/>
      <c r="P133" s="79">
        <f>'42uCH'!$C$19</f>
        <v>0</v>
      </c>
      <c r="Q133" s="201"/>
      <c r="R133" s="201"/>
      <c r="S133" s="201"/>
    </row>
    <row r="134" spans="1:19">
      <c r="A134" s="194"/>
      <c r="B134" s="79">
        <v>3</v>
      </c>
      <c r="C134" s="199">
        <f>IF(C132=1,txt!B258,0)</f>
        <v>0</v>
      </c>
      <c r="D134" s="201"/>
      <c r="E134" s="208">
        <f>'42uCH'!$A$21</f>
        <v>0</v>
      </c>
      <c r="F134" s="201"/>
      <c r="G134" s="195">
        <f>'42uCH'!$E$21</f>
        <v>0</v>
      </c>
      <c r="H134" s="195">
        <f>'42uCH'!$F$21</f>
        <v>0</v>
      </c>
      <c r="I134" s="201"/>
      <c r="J134" s="201"/>
      <c r="K134" s="201"/>
      <c r="L134" s="201"/>
      <c r="M134" s="201"/>
      <c r="N134" s="201"/>
      <c r="O134" s="201"/>
      <c r="P134" s="79">
        <f>'42uCH'!$C$21</f>
        <v>0</v>
      </c>
      <c r="Q134" s="201"/>
      <c r="R134" s="201"/>
      <c r="S134" s="201"/>
    </row>
    <row r="135" spans="1:19">
      <c r="A135" s="194" t="s">
        <v>300</v>
      </c>
      <c r="B135" s="79">
        <v>1</v>
      </c>
      <c r="C135" s="79">
        <f>Steuerung!A38*Steuerung!B43*Steuerung!C45*Steuerung!E45</f>
        <v>0</v>
      </c>
      <c r="D135" s="210">
        <f>'0'!$D$11*'0'!$D$22*'4'!$C$15*'4'!$E$15</f>
        <v>0</v>
      </c>
      <c r="E135" s="208">
        <f>'42uEX'!$A$17</f>
        <v>0</v>
      </c>
      <c r="F135" s="195">
        <f>'42uEX'!$I$17</f>
        <v>0</v>
      </c>
      <c r="G135" s="195">
        <f>'42uEX'!$J$17</f>
        <v>0</v>
      </c>
      <c r="H135" s="195">
        <f>'42uEX'!$K$17</f>
        <v>0</v>
      </c>
      <c r="I135" s="201"/>
      <c r="J135" s="201"/>
      <c r="K135" s="201"/>
      <c r="L135" s="201"/>
      <c r="M135" s="201"/>
      <c r="N135" s="201"/>
      <c r="O135" s="201"/>
      <c r="P135" s="195">
        <f>'42uEX'!$H$17</f>
        <v>0</v>
      </c>
      <c r="Q135" s="195">
        <f>'42uEX'!$A$32</f>
        <v>0</v>
      </c>
      <c r="R135" s="201"/>
      <c r="S135" s="201"/>
    </row>
    <row r="136" spans="1:19">
      <c r="A136" s="194"/>
      <c r="B136" s="79">
        <v>2</v>
      </c>
      <c r="C136" s="199">
        <f>IF(C135=1,txt!B258,0)</f>
        <v>0</v>
      </c>
      <c r="D136" s="201"/>
      <c r="E136" s="208">
        <f>'42uEX'!$A$19</f>
        <v>0</v>
      </c>
      <c r="F136" s="195">
        <f>'42uEX'!$I$19</f>
        <v>0</v>
      </c>
      <c r="G136" s="195">
        <f>'42uEX'!$J$19</f>
        <v>0</v>
      </c>
      <c r="H136" s="195">
        <f>'42uEX'!$K$19</f>
        <v>0</v>
      </c>
      <c r="I136" s="201"/>
      <c r="J136" s="201"/>
      <c r="K136" s="201"/>
      <c r="L136" s="201"/>
      <c r="M136" s="201"/>
      <c r="N136" s="201"/>
      <c r="O136" s="201"/>
      <c r="P136" s="195">
        <f>'42uEX'!$H$19</f>
        <v>0</v>
      </c>
      <c r="Q136" s="201"/>
      <c r="R136" s="201"/>
      <c r="S136" s="201"/>
    </row>
    <row r="137" spans="1:19">
      <c r="A137" s="194"/>
      <c r="B137" s="79">
        <v>3</v>
      </c>
      <c r="C137" s="199">
        <f>IF(C135=1,txt!B258,0)</f>
        <v>0</v>
      </c>
      <c r="D137" s="201"/>
      <c r="E137" s="208">
        <f>'42uEX'!$A$21</f>
        <v>0</v>
      </c>
      <c r="F137" s="195">
        <f>'42uEX'!$I$21</f>
        <v>0</v>
      </c>
      <c r="G137" s="195">
        <f>'42uEX'!$J$21</f>
        <v>0</v>
      </c>
      <c r="H137" s="195">
        <f>'42uEX'!$K$21</f>
        <v>0</v>
      </c>
      <c r="I137" s="201"/>
      <c r="J137" s="201"/>
      <c r="K137" s="201"/>
      <c r="L137" s="201"/>
      <c r="M137" s="201"/>
      <c r="N137" s="201"/>
      <c r="O137" s="201"/>
      <c r="P137" s="195">
        <f>'42uEX'!$H$21</f>
        <v>0</v>
      </c>
      <c r="Q137" s="201"/>
      <c r="R137" s="201"/>
      <c r="S137" s="201"/>
    </row>
    <row r="138" spans="1:19">
      <c r="A138" s="194" t="s">
        <v>301</v>
      </c>
      <c r="B138" s="79" t="s">
        <v>602</v>
      </c>
      <c r="C138" s="79">
        <f>Steuerung!A38*Steuerung!B47*Steuerung!C47</f>
        <v>0</v>
      </c>
      <c r="D138" s="210">
        <f>'0'!$D$11*'0'!$D$22*'4'!$C$17*(1-'4'!$E$17)</f>
        <v>0</v>
      </c>
      <c r="E138" s="208">
        <f>'43t'!$A$17</f>
        <v>0</v>
      </c>
      <c r="F138" s="201"/>
      <c r="G138" s="79">
        <f>'43t'!$D$17</f>
        <v>0</v>
      </c>
      <c r="H138" s="79">
        <f>'43t'!$E$17</f>
        <v>0</v>
      </c>
      <c r="I138" s="201"/>
      <c r="J138" s="201"/>
      <c r="K138" s="201"/>
      <c r="L138" s="201"/>
      <c r="M138" s="201"/>
      <c r="N138" s="201"/>
      <c r="O138" s="201"/>
      <c r="P138" s="201"/>
      <c r="Q138" s="79">
        <f>'43t'!$A$24</f>
        <v>0</v>
      </c>
      <c r="R138" s="201"/>
      <c r="S138" s="201"/>
    </row>
    <row r="139" spans="1:19">
      <c r="A139" s="194"/>
      <c r="B139" s="79" t="s">
        <v>603</v>
      </c>
      <c r="C139" s="79">
        <f>Steuerung!A38*Steuerung!B47*Steuerung!C47*Steuerung!E47</f>
        <v>0</v>
      </c>
      <c r="D139" s="210">
        <f>'0'!$D$11*'0'!$D$22*'4'!$C$17*'4'!$E$17</f>
        <v>0</v>
      </c>
      <c r="E139" s="228"/>
      <c r="F139" s="195">
        <f>'43t'!$G$17</f>
        <v>0</v>
      </c>
      <c r="G139" s="195">
        <f>'43t'!$H$17</f>
        <v>0</v>
      </c>
      <c r="H139" s="195">
        <f>'43t'!$I$17</f>
        <v>0</v>
      </c>
      <c r="I139" s="201"/>
      <c r="J139" s="201"/>
      <c r="K139" s="201"/>
      <c r="L139" s="201"/>
      <c r="M139" s="201"/>
      <c r="N139" s="201"/>
      <c r="O139" s="201"/>
      <c r="P139" s="201"/>
      <c r="Q139" s="201"/>
      <c r="R139" s="201"/>
      <c r="S139" s="201"/>
    </row>
    <row r="140" spans="1:19">
      <c r="A140" s="194" t="s">
        <v>302</v>
      </c>
      <c r="B140" s="79">
        <v>1</v>
      </c>
      <c r="C140" s="79">
        <f>Steuerung!A38*Steuerung!B47*Steuerung!C49</f>
        <v>0</v>
      </c>
      <c r="D140" s="210">
        <f>'0'!$D$11*'0'!$D$22*'4'!$C$17*(1-'4'!$E$17)</f>
        <v>0</v>
      </c>
      <c r="E140" s="208">
        <f>'43uCH'!$A$17</f>
        <v>0</v>
      </c>
      <c r="F140" s="201"/>
      <c r="G140" s="195">
        <f>'43uCH'!$E$17</f>
        <v>0</v>
      </c>
      <c r="H140" s="195">
        <f>'43uCH'!$F$17</f>
        <v>0</v>
      </c>
      <c r="I140" s="201"/>
      <c r="J140" s="201"/>
      <c r="K140" s="201"/>
      <c r="L140" s="201"/>
      <c r="M140" s="201"/>
      <c r="N140" s="201"/>
      <c r="O140" s="201"/>
      <c r="P140" s="79">
        <f>'43uCH'!$C$17</f>
        <v>0</v>
      </c>
      <c r="Q140" s="79">
        <f>'43uCH'!$A$32</f>
        <v>0</v>
      </c>
      <c r="R140" s="201"/>
      <c r="S140" s="201"/>
    </row>
    <row r="141" spans="1:19">
      <c r="A141" s="194"/>
      <c r="B141" s="79">
        <v>2</v>
      </c>
      <c r="C141" s="199">
        <f>IF(C140=1,txt!B258,0)</f>
        <v>0</v>
      </c>
      <c r="D141" s="201"/>
      <c r="E141" s="208">
        <f>'43uCH'!$A$19</f>
        <v>0</v>
      </c>
      <c r="F141" s="201"/>
      <c r="G141" s="195">
        <f>'43uCH'!$E$19</f>
        <v>0</v>
      </c>
      <c r="H141" s="195">
        <f>'43uCH'!$F$19</f>
        <v>0</v>
      </c>
      <c r="I141" s="201"/>
      <c r="J141" s="201"/>
      <c r="K141" s="201"/>
      <c r="L141" s="201"/>
      <c r="M141" s="201"/>
      <c r="N141" s="201"/>
      <c r="O141" s="201"/>
      <c r="P141" s="79">
        <f>'43uCH'!$C$19</f>
        <v>0</v>
      </c>
      <c r="Q141" s="201"/>
      <c r="R141" s="201"/>
      <c r="S141" s="201"/>
    </row>
    <row r="142" spans="1:19">
      <c r="A142" s="194"/>
      <c r="B142" s="79">
        <v>3</v>
      </c>
      <c r="C142" s="199">
        <f>IF(C140=1,txt!B258,0)</f>
        <v>0</v>
      </c>
      <c r="D142" s="201"/>
      <c r="E142" s="208">
        <f>'43uCH'!$A$21</f>
        <v>0</v>
      </c>
      <c r="F142" s="201"/>
      <c r="G142" s="195">
        <f>'43uCH'!$E$21</f>
        <v>0</v>
      </c>
      <c r="H142" s="195">
        <f>'43uCH'!$F$21</f>
        <v>0</v>
      </c>
      <c r="I142" s="201"/>
      <c r="J142" s="201"/>
      <c r="K142" s="201"/>
      <c r="L142" s="201"/>
      <c r="M142" s="201"/>
      <c r="N142" s="201"/>
      <c r="O142" s="201"/>
      <c r="P142" s="79">
        <f>'43uCH'!$C$21</f>
        <v>0</v>
      </c>
      <c r="Q142" s="201"/>
      <c r="R142" s="201"/>
      <c r="S142" s="201"/>
    </row>
    <row r="143" spans="1:19">
      <c r="A143" s="194" t="s">
        <v>303</v>
      </c>
      <c r="B143" s="79">
        <v>1</v>
      </c>
      <c r="C143" s="79">
        <f>Steuerung!A38*Steuerung!B47*Steuerung!C49*Steuerung!E49</f>
        <v>0</v>
      </c>
      <c r="D143" s="210">
        <f>'0'!$D$11*'0'!$D$22*'4'!$C$17*'4'!$E$17</f>
        <v>0</v>
      </c>
      <c r="E143" s="208">
        <f>'43uEX'!$A$17</f>
        <v>0</v>
      </c>
      <c r="F143" s="195">
        <f>'43uEX'!$I$17</f>
        <v>0</v>
      </c>
      <c r="G143" s="195">
        <f>'43uEX'!$J$17</f>
        <v>0</v>
      </c>
      <c r="H143" s="195">
        <f>'43uEX'!$K$17</f>
        <v>0</v>
      </c>
      <c r="I143" s="201"/>
      <c r="J143" s="201"/>
      <c r="K143" s="201"/>
      <c r="L143" s="201"/>
      <c r="M143" s="201"/>
      <c r="N143" s="201"/>
      <c r="O143" s="201"/>
      <c r="P143" s="195">
        <f>'43uEX'!$H$17</f>
        <v>0</v>
      </c>
      <c r="Q143" s="195">
        <f>'43uEX'!$A$32</f>
        <v>0</v>
      </c>
      <c r="R143" s="201"/>
      <c r="S143" s="201"/>
    </row>
    <row r="144" spans="1:19">
      <c r="A144" s="194"/>
      <c r="B144" s="79">
        <v>2</v>
      </c>
      <c r="C144" s="199">
        <f>IF(C143=1,txt!B258,0)</f>
        <v>0</v>
      </c>
      <c r="D144" s="201"/>
      <c r="E144" s="208">
        <f>'43uEX'!$A$19</f>
        <v>0</v>
      </c>
      <c r="F144" s="195">
        <f>'43uEX'!$I$19</f>
        <v>0</v>
      </c>
      <c r="G144" s="195">
        <f>'43uEX'!$J$19</f>
        <v>0</v>
      </c>
      <c r="H144" s="195">
        <f>'43uEX'!$K$19</f>
        <v>0</v>
      </c>
      <c r="I144" s="201"/>
      <c r="J144" s="201"/>
      <c r="K144" s="201"/>
      <c r="L144" s="201"/>
      <c r="M144" s="201"/>
      <c r="N144" s="201"/>
      <c r="O144" s="201"/>
      <c r="P144" s="195">
        <f>'43uEX'!$H$19</f>
        <v>0</v>
      </c>
      <c r="Q144" s="201"/>
      <c r="R144" s="201"/>
      <c r="S144" s="201"/>
    </row>
    <row r="145" spans="1:19">
      <c r="A145" s="194"/>
      <c r="B145" s="79">
        <v>3</v>
      </c>
      <c r="C145" s="199">
        <f>IF(C143=1,txt!B258,0)</f>
        <v>0</v>
      </c>
      <c r="D145" s="201"/>
      <c r="E145" s="208">
        <f>'43uEX'!$A$21</f>
        <v>0</v>
      </c>
      <c r="F145" s="195">
        <f>'43uEX'!$I$21</f>
        <v>0</v>
      </c>
      <c r="G145" s="195">
        <f>'43uEX'!$J$21</f>
        <v>0</v>
      </c>
      <c r="H145" s="195">
        <f>'43uEX'!$K$21</f>
        <v>0</v>
      </c>
      <c r="I145" s="201"/>
      <c r="J145" s="201"/>
      <c r="K145" s="201"/>
      <c r="L145" s="201"/>
      <c r="M145" s="201"/>
      <c r="N145" s="201"/>
      <c r="O145" s="201"/>
      <c r="P145" s="195">
        <f>'43uEX'!$H$21</f>
        <v>0</v>
      </c>
      <c r="Q145" s="201"/>
      <c r="R145" s="201"/>
      <c r="S145" s="201"/>
    </row>
    <row r="146" spans="1:19">
      <c r="A146" s="198">
        <v>5</v>
      </c>
      <c r="B146" s="201"/>
      <c r="C146" s="201"/>
      <c r="D146" s="225"/>
      <c r="E146" s="228"/>
      <c r="F146" s="201"/>
      <c r="G146" s="201"/>
      <c r="H146" s="201"/>
      <c r="I146" s="201"/>
      <c r="J146" s="201"/>
      <c r="K146" s="201"/>
      <c r="L146" s="201"/>
      <c r="M146" s="201"/>
      <c r="N146" s="201"/>
      <c r="O146" s="201"/>
      <c r="P146" s="201"/>
      <c r="Q146" s="79">
        <f>'5'!A12</f>
        <v>0</v>
      </c>
      <c r="R146" s="201"/>
      <c r="S146" s="201"/>
    </row>
  </sheetData>
  <sheetProtection algorithmName="SHA-512" hashValue="pfRSoVrH3vQeL4wfdsHccgihGHcFfYO8B/e/16kHtnCTt9s3Fk0kU4gQuyGm1a06fdUUNwyZ/s/csEkVcv5MSQ==" saltValue="nMjFpW2xsmam0E/2rSsQkQ==" spinCount="100000" sheet="1" objects="1" scenarios="1"/>
  <pageMargins left="0.75" right="0.75" top="1" bottom="1" header="0.5" footer="0.5"/>
  <pageSetup paperSize="9" scale="6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5"/>
    <pageSetUpPr fitToPage="1"/>
  </sheetPr>
  <dimension ref="A1:J26"/>
  <sheetViews>
    <sheetView workbookViewId="0">
      <selection activeCell="C13" sqref="C13"/>
    </sheetView>
  </sheetViews>
  <sheetFormatPr baseColWidth="10" defaultColWidth="10.6640625" defaultRowHeight="12.75"/>
  <cols>
    <col min="1" max="1" width="50.6640625" style="50" customWidth="1"/>
    <col min="2" max="2" width="2.6640625" style="50" customWidth="1"/>
    <col min="3" max="3" width="32.6640625" style="50" customWidth="1"/>
    <col min="4" max="4" width="2.6640625" style="50" customWidth="1"/>
    <col min="5" max="5" width="32.6640625" style="50" customWidth="1"/>
    <col min="6" max="16384" width="10.6640625" style="50"/>
  </cols>
  <sheetData>
    <row r="1" spans="1:10" ht="15" customHeight="1">
      <c r="B1" s="336" t="str">
        <f>txt!$B$42</f>
        <v>Preiserhebung</v>
      </c>
      <c r="C1" s="336"/>
      <c r="D1" s="336"/>
      <c r="E1" s="51" t="str">
        <f>txt!$B$175</f>
        <v>Eidg. Departement des Innern</v>
      </c>
      <c r="F1" s="81"/>
    </row>
    <row r="2" spans="1:10" ht="15" customHeight="1">
      <c r="B2" s="336" t="str">
        <f>txt!$B$43</f>
        <v>Produzentenpreisindex</v>
      </c>
      <c r="C2" s="336"/>
      <c r="D2" s="336"/>
      <c r="E2" s="51" t="str">
        <f>txt!$B$176</f>
        <v>Bundesamt für Statistik BFS</v>
      </c>
      <c r="F2" s="81"/>
    </row>
    <row r="3" spans="1:10" ht="15" customHeight="1">
      <c r="B3" s="337" t="str">
        <f>txt!$B$44</f>
        <v>Informatikdienstleistungen</v>
      </c>
      <c r="C3" s="337"/>
      <c r="D3" s="337"/>
      <c r="E3" s="52" t="str">
        <f>txt!$B$177</f>
        <v>Abt. Wirtschaft, Sektion PREIS</v>
      </c>
      <c r="F3" s="82"/>
    </row>
    <row r="4" spans="1:10" ht="13.5" customHeight="1">
      <c r="A4" s="63"/>
      <c r="B4" s="63"/>
      <c r="C4" s="63"/>
      <c r="D4" s="63"/>
      <c r="E4" s="63"/>
      <c r="F4" s="63"/>
      <c r="G4" s="63"/>
      <c r="H4" s="63"/>
      <c r="I4" s="63"/>
      <c r="J4" s="63"/>
    </row>
    <row r="5" spans="1:10" ht="13.5" customHeight="1">
      <c r="A5" s="63" t="str">
        <f>txt!B46</f>
        <v>PMS-Nr. 0</v>
      </c>
      <c r="B5" s="63"/>
      <c r="C5" s="63"/>
      <c r="D5" s="63"/>
      <c r="E5" s="64" t="str">
        <f>txt!B45</f>
        <v/>
      </c>
      <c r="F5" s="63"/>
      <c r="G5" s="63"/>
      <c r="H5" s="63"/>
      <c r="I5" s="51"/>
      <c r="J5" s="63"/>
    </row>
    <row r="6" spans="1:10" ht="13.5" customHeight="1">
      <c r="A6" s="63"/>
      <c r="B6" s="63"/>
      <c r="C6" s="63"/>
      <c r="D6" s="63"/>
      <c r="E6" s="63"/>
      <c r="F6" s="63"/>
      <c r="G6" s="63"/>
      <c r="H6" s="63"/>
      <c r="I6" s="63"/>
      <c r="J6" s="63"/>
    </row>
    <row r="7" spans="1:10" ht="13.5" customHeight="1">
      <c r="A7" s="63" t="str">
        <f>txt!B47&amp;": "&amp;txt!B49</f>
        <v>Geschäftsfeld: Programmierungstätigkeiten</v>
      </c>
      <c r="B7" s="63"/>
      <c r="C7" s="63"/>
      <c r="D7" s="63"/>
      <c r="E7" s="83" t="str">
        <f>" "&amp;REPT("|",INT(Steuerung!V2*100))</f>
        <v xml:space="preserve"> </v>
      </c>
      <c r="F7" s="63"/>
      <c r="G7" s="63"/>
      <c r="H7" s="63"/>
      <c r="I7" s="63"/>
      <c r="J7" s="63"/>
    </row>
    <row r="8" spans="1:10" ht="13.5" customHeight="1">
      <c r="A8" s="63"/>
      <c r="B8" s="63"/>
      <c r="C8" s="63"/>
      <c r="D8" s="63"/>
      <c r="E8" s="65" t="str">
        <f>IF(SUM($C$13:$C$15)=1,IF(COUNTIF($E$13:$E$15,"")=1,IF(A24=1,"",""),txt!B229),txt!B230)</f>
        <v>Bitte geben Sie die Umsatzanteile richtig und vollständig an</v>
      </c>
      <c r="F8" s="63"/>
      <c r="G8" s="63"/>
      <c r="H8" s="63"/>
      <c r="I8" s="63"/>
      <c r="J8" s="63"/>
    </row>
    <row r="9" spans="1:10" ht="13.5" customHeight="1"/>
    <row r="10" spans="1:10" ht="13.5" customHeight="1">
      <c r="A10" s="340" t="str">
        <f>txt!B119&amp;" "&amp;txt!B49&amp;" "&amp;txt!B120</f>
        <v>Wie kann der Umsatz mit  Programmierungstätigkeiten im Jahr 2021 aufgeteilt werden und welcher Anteil der Dienstleistung wird ins Ausland exportiert?</v>
      </c>
      <c r="B10" s="340"/>
      <c r="C10" s="340"/>
      <c r="D10" s="340"/>
      <c r="E10" s="340"/>
      <c r="F10" s="84"/>
      <c r="G10" s="84"/>
    </row>
    <row r="11" spans="1:10" ht="13.5" customHeight="1">
      <c r="A11" s="85"/>
      <c r="B11" s="85"/>
      <c r="C11" s="85"/>
      <c r="D11" s="85"/>
      <c r="E11" s="85"/>
      <c r="F11" s="85"/>
      <c r="G11" s="85"/>
    </row>
    <row r="12" spans="1:10" ht="27" customHeight="1">
      <c r="A12" s="86"/>
      <c r="B12" s="55"/>
      <c r="C12" s="87" t="str">
        <f>txt!B121</f>
        <v>Umsatzanteil am Geschäftsfeld</v>
      </c>
      <c r="D12" s="88"/>
      <c r="E12" s="87" t="str">
        <f>txt!B122</f>
        <v>Exportanteil im Dienstleistungstyp</v>
      </c>
    </row>
    <row r="13" spans="1:10" ht="13.5" customHeight="1">
      <c r="A13" s="60" t="str">
        <f>txt!B48&amp;": "&amp;txt!B55</f>
        <v>Dienstleistungstyp: Software nach Kundenwunsch</v>
      </c>
      <c r="B13" s="89"/>
      <c r="C13" s="273"/>
      <c r="D13" s="68"/>
      <c r="E13" s="273"/>
    </row>
    <row r="14" spans="1:10" ht="7.5" customHeight="1">
      <c r="A14" s="60"/>
      <c r="B14" s="89"/>
      <c r="C14" s="90"/>
      <c r="D14" s="68"/>
      <c r="E14" s="90"/>
    </row>
    <row r="15" spans="1:10" ht="13.5" customHeight="1">
      <c r="A15" s="60" t="str">
        <f>txt!B48&amp;": "&amp;txt!B56</f>
        <v>Dienstleistungstyp: Standardsoftware</v>
      </c>
      <c r="B15" s="89"/>
      <c r="C15" s="273"/>
      <c r="D15" s="68"/>
      <c r="E15" s="273"/>
    </row>
    <row r="16" spans="1:10" ht="13.5" customHeight="1">
      <c r="A16" s="69"/>
      <c r="B16" s="89"/>
      <c r="C16" s="61" t="str">
        <f>SUM(C13:C15)*100&amp;txt!$B$224</f>
        <v>0% von 100% zugeteilt</v>
      </c>
      <c r="D16" s="91"/>
      <c r="E16" s="71"/>
    </row>
    <row r="17" spans="1:5" ht="13.5" customHeight="1">
      <c r="A17" s="92"/>
      <c r="B17" s="68"/>
      <c r="C17" s="70"/>
      <c r="D17" s="91"/>
      <c r="E17" s="71"/>
    </row>
    <row r="18" spans="1:5" ht="13.5" customHeight="1">
      <c r="A18" s="93" t="str">
        <f>txt!B218&amp;":"</f>
        <v>Definitionen:</v>
      </c>
      <c r="B18" s="68"/>
      <c r="C18" s="70"/>
      <c r="D18" s="91"/>
      <c r="E18" s="74"/>
    </row>
    <row r="19" spans="1:5" ht="7.5" customHeight="1">
      <c r="A19" s="68"/>
      <c r="B19" s="68"/>
      <c r="C19" s="68"/>
      <c r="D19" s="68"/>
      <c r="E19" s="68"/>
    </row>
    <row r="20" spans="1:5" ht="129" customHeight="1">
      <c r="A20" s="94" t="str">
        <f>txt!B72</f>
        <v>Dienstleistungstyp "Software nach Kundenwunsch" beinhaltet das Entwerfen des Aufbaus und/oder Schreibens des Computercodes einschliesslich der Aktualisierungen und Korrekturen, die für die Erstellung und Realisierung einer Softwareanwendung erforderlich sind. Zudem die Entwicklung und die Einrichtung von Kundennetzwerken wie Intranets, Extranets und virtuellen privaten Netzwerken und Dienstleistungen der Netzsicherheitsplanung und -entwicklung (d.h. Entwerfen, Entwickeln und Realisieren von Software, Hardware und Verfahren zur Kontrolle des Zugangs zu Daten und Programmen und zur Ermöglichung eines sicheren Informationsaustauschs über ein Netz).</v>
      </c>
      <c r="B20" s="95"/>
      <c r="C20" s="95"/>
      <c r="D20" s="68"/>
      <c r="E20" s="73" t="str">
        <f>txt!B83</f>
        <v>Dienstleistungen gelten als exportiert, wenn die Adresse des Leistungsbezügers im Ausland liegt.</v>
      </c>
    </row>
    <row r="21" spans="1:5" ht="7.5" customHeight="1">
      <c r="A21" s="95"/>
      <c r="B21" s="95"/>
      <c r="C21" s="95"/>
      <c r="D21" s="68"/>
      <c r="E21" s="95"/>
    </row>
    <row r="22" spans="1:5" ht="40.5" customHeight="1">
      <c r="A22" s="94" t="str">
        <f>txt!B73</f>
        <v>Der Dienstleistungstyp "Standardsoftware" umfasst die Herstellung von Software, die ohne konkreten Auftrag produziert wird und für den Verkauf bestimmte Originale, die urheberrechtlich geschützt sind.</v>
      </c>
      <c r="B22" s="96"/>
      <c r="C22" s="96"/>
      <c r="E22" s="74"/>
    </row>
    <row r="23" spans="1:5">
      <c r="E23" s="80"/>
    </row>
    <row r="24" spans="1:5">
      <c r="A24" s="78">
        <f>Steuerung!B3</f>
        <v>0</v>
      </c>
      <c r="C24" s="268" t="str">
        <f>txt!$B$221</f>
        <v>ZURÜCK</v>
      </c>
      <c r="E24" s="269" t="str">
        <f>IF(SUM($C$13:$C$15)=1,IF(COUNTIF($E$13:$E$15,"")=1,IF(A24=1,txt!B222,""),""),"")</f>
        <v/>
      </c>
    </row>
    <row r="25" spans="1:5">
      <c r="A25" s="78"/>
      <c r="C25" s="62"/>
      <c r="E25" s="62"/>
    </row>
    <row r="26" spans="1:5">
      <c r="A26" s="78">
        <f>Steuerung!B8</f>
        <v>0</v>
      </c>
      <c r="E26" s="269" t="str">
        <f>IF(SUM($C$13:$C$15)=1,IF(COUNTIF($E$13:$E$15,"")=1,IF(AND(A24=0,A26=1),txt!B222,""),""),"")</f>
        <v/>
      </c>
    </row>
  </sheetData>
  <sheetProtection algorithmName="SHA-512" hashValue="obwzeQZzygYSs13rV+ealG9yDF2ua6nmEb5m6kkMoEw9Vx+LXQx/Gc83jFhIbqi7K2iuDbrv0N+WAj4rSiZJyw==" saltValue="RnEjN2AEWx1PcYUDCe7oMQ==" spinCount="100000" sheet="1" objects="1" scenarios="1"/>
  <mergeCells count="4">
    <mergeCell ref="A10:E10"/>
    <mergeCell ref="B1:D1"/>
    <mergeCell ref="B2:D2"/>
    <mergeCell ref="B3:D3"/>
  </mergeCells>
  <dataValidations count="1">
    <dataValidation type="decimal" allowBlank="1" showInputMessage="1" showErrorMessage="1" sqref="C13:E15">
      <formula1>0</formula1>
      <formula2>1</formula2>
    </dataValidation>
  </dataValidations>
  <hyperlinks>
    <hyperlink ref="C24" location="'0'!A1" display="'0'!A1"/>
    <hyperlink ref="E24" location="'101'!A1" display="'101'!A1"/>
    <hyperlink ref="E26" location="'102'!A1" display="'102'!A1"/>
  </hyperlinks>
  <pageMargins left="0.74803149606299213" right="0.74803149606299213" top="0.39370078740157483" bottom="0.19685039370078741" header="0.51181102362204722" footer="0.51181102362204722"/>
  <pageSetup paperSize="9" scale="90" orientation="landscape"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9FAAA095-11D4-C749-BB35-259E5D2B82B3}">
            <xm:f>txt!$B$222</xm:f>
            <x14:dxf>
              <font>
                <u/>
                <color rgb="FF0000FF"/>
              </font>
              <fill>
                <patternFill patternType="solid">
                  <fgColor indexed="64"/>
                  <bgColor rgb="FFFFFF00"/>
                </patternFill>
              </fill>
            </x14:dxf>
          </x14:cfRule>
          <xm:sqref>E24:E26</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5" tint="0.79998168889431442"/>
    <pageSetUpPr fitToPage="1"/>
  </sheetPr>
  <dimension ref="A1:J37"/>
  <sheetViews>
    <sheetView workbookViewId="0">
      <selection activeCell="C12" sqref="C12"/>
    </sheetView>
  </sheetViews>
  <sheetFormatPr baseColWidth="10" defaultColWidth="10.6640625" defaultRowHeight="12.75"/>
  <cols>
    <col min="1" max="1" width="50.6640625" style="50" customWidth="1"/>
    <col min="2" max="2" width="2.6640625" style="50" customWidth="1"/>
    <col min="3" max="3" width="32.6640625" style="50" customWidth="1"/>
    <col min="4" max="4" width="2.6640625" style="50" customWidth="1"/>
    <col min="5" max="5" width="32.6640625" style="50" customWidth="1"/>
    <col min="6" max="16384" width="10.6640625" style="50"/>
  </cols>
  <sheetData>
    <row r="1" spans="1:10" ht="15" customHeight="1">
      <c r="B1" s="336" t="str">
        <f>txt!$B$42</f>
        <v>Preiserhebung</v>
      </c>
      <c r="C1" s="336"/>
      <c r="D1" s="336"/>
      <c r="E1" s="51" t="str">
        <f>txt!$B$175</f>
        <v>Eidg. Departement des Innern</v>
      </c>
    </row>
    <row r="2" spans="1:10" ht="15" customHeight="1">
      <c r="B2" s="336" t="str">
        <f>txt!$B$43</f>
        <v>Produzentenpreisindex</v>
      </c>
      <c r="C2" s="336"/>
      <c r="D2" s="336"/>
      <c r="E2" s="51" t="str">
        <f>txt!$B$176</f>
        <v>Bundesamt für Statistik BFS</v>
      </c>
    </row>
    <row r="3" spans="1:10" ht="15" customHeight="1">
      <c r="B3" s="337" t="str">
        <f>txt!$B$44</f>
        <v>Informatikdienstleistungen</v>
      </c>
      <c r="C3" s="337"/>
      <c r="D3" s="337"/>
      <c r="E3" s="52" t="str">
        <f>txt!$B$177</f>
        <v>Abt. Wirtschaft, Sektion PREIS</v>
      </c>
    </row>
    <row r="4" spans="1:10" ht="13.5" customHeight="1">
      <c r="A4" s="63"/>
      <c r="B4" s="63"/>
      <c r="C4" s="63"/>
      <c r="D4" s="63"/>
      <c r="E4" s="63"/>
      <c r="F4" s="63"/>
      <c r="G4" s="63"/>
      <c r="H4" s="63"/>
      <c r="I4" s="63"/>
      <c r="J4" s="63"/>
    </row>
    <row r="5" spans="1:10" ht="13.5" customHeight="1">
      <c r="A5" s="63" t="str">
        <f>txt!B46</f>
        <v>PMS-Nr. 0</v>
      </c>
      <c r="B5" s="63"/>
      <c r="C5" s="63"/>
      <c r="D5" s="63"/>
      <c r="E5" s="51" t="str">
        <f>txt!B45</f>
        <v/>
      </c>
      <c r="F5" s="63"/>
      <c r="G5" s="63"/>
      <c r="H5" s="63"/>
      <c r="J5" s="63"/>
    </row>
    <row r="6" spans="1:10" ht="13.5" customHeight="1">
      <c r="A6" s="63"/>
      <c r="B6" s="63"/>
      <c r="C6" s="63"/>
      <c r="D6" s="63"/>
      <c r="E6" s="63"/>
      <c r="F6" s="63"/>
      <c r="G6" s="63"/>
      <c r="H6" s="63"/>
      <c r="I6" s="63"/>
      <c r="J6" s="63"/>
    </row>
    <row r="7" spans="1:10" ht="13.5" customHeight="1">
      <c r="A7" s="63" t="str">
        <f>txt!B47&amp;": "&amp;txt!B49</f>
        <v>Geschäftsfeld: Programmierungstätigkeiten</v>
      </c>
      <c r="B7" s="63"/>
      <c r="C7" s="63"/>
      <c r="D7" s="63"/>
      <c r="E7" s="83" t="str">
        <f>" "&amp;REPT("|",INT(Steuerung!V3*100))</f>
        <v xml:space="preserve"> </v>
      </c>
      <c r="F7" s="63"/>
      <c r="G7" s="63"/>
      <c r="H7" s="63"/>
      <c r="I7" s="63"/>
      <c r="J7" s="63"/>
    </row>
    <row r="8" spans="1:10" ht="13.5" customHeight="1">
      <c r="A8" s="63" t="str">
        <f>txt!B48&amp;": "&amp;txt!B55</f>
        <v>Dienstleistungstyp: Software nach Kundenwunsch</v>
      </c>
      <c r="B8" s="63"/>
      <c r="C8" s="63"/>
      <c r="D8" s="63"/>
      <c r="E8" s="65" t="str">
        <f>IF(COUNTIF($C$12:$C$16,"")=5,txt!B231,IF(A27=1,"",""))</f>
        <v>Bitte wählen Sie eine häufig angewendete Preisfestsetzungsmethode</v>
      </c>
      <c r="F8" s="63"/>
      <c r="G8" s="63"/>
      <c r="H8" s="63"/>
      <c r="I8" s="63"/>
      <c r="J8" s="63"/>
    </row>
    <row r="9" spans="1:10" ht="13.5" customHeight="1">
      <c r="A9" s="53"/>
      <c r="B9" s="97"/>
      <c r="C9" s="97"/>
      <c r="D9" s="97"/>
      <c r="E9" s="98"/>
    </row>
    <row r="10" spans="1:10" s="57" customFormat="1" ht="13.5" customHeight="1">
      <c r="A10" s="58" t="str">
        <f>txt!B85</f>
        <v>Wie offerieren Sie normalerweise Ihre Dienstleistungen?</v>
      </c>
      <c r="E10" s="91"/>
    </row>
    <row r="11" spans="1:10" ht="27" customHeight="1">
      <c r="A11" s="60"/>
      <c r="B11" s="60"/>
      <c r="C11" s="59" t="str">
        <f>txt!B86</f>
        <v xml:space="preserve">Häufig angewendete Preisfestsetzungsmethode mit einem "X" kennzeichnen </v>
      </c>
      <c r="F11" s="96"/>
    </row>
    <row r="12" spans="1:10" ht="13.5" customHeight="1">
      <c r="A12" s="60" t="str">
        <f>txt!B87</f>
        <v>Festpreis</v>
      </c>
      <c r="B12" s="99"/>
      <c r="C12" s="134"/>
      <c r="F12" s="100"/>
    </row>
    <row r="13" spans="1:10" ht="7.5" customHeight="1">
      <c r="A13" s="60"/>
      <c r="B13" s="99"/>
      <c r="C13" s="101"/>
      <c r="F13" s="100"/>
    </row>
    <row r="14" spans="1:10" ht="13.5" customHeight="1">
      <c r="A14" s="60" t="str">
        <f>txt!B88</f>
        <v>Zeithonorare</v>
      </c>
      <c r="B14" s="99"/>
      <c r="C14" s="134"/>
      <c r="E14" s="75"/>
      <c r="F14" s="74"/>
    </row>
    <row r="15" spans="1:10" ht="7.5" customHeight="1">
      <c r="A15" s="60"/>
      <c r="B15" s="99"/>
      <c r="C15" s="101"/>
      <c r="E15" s="75"/>
      <c r="F15" s="74"/>
    </row>
    <row r="16" spans="1:10" ht="13.5" customHeight="1">
      <c r="A16" s="102" t="str">
        <f>txt!B95</f>
        <v>Andere Form der Preisfestsetzung</v>
      </c>
      <c r="B16" s="103"/>
      <c r="C16" s="134"/>
      <c r="E16" s="75"/>
    </row>
    <row r="17" spans="1:5" ht="13.5" customHeight="1">
      <c r="C17" s="80" t="str">
        <f>IF($C16="","",IF(A19="",txt!B84,""))</f>
        <v/>
      </c>
      <c r="E17" s="74"/>
    </row>
    <row r="18" spans="1:5" ht="13.5" customHeight="1">
      <c r="A18" s="104" t="str">
        <f>txt!B105</f>
        <v>Kurzbeschrieb der anderen Form der Preisfestsetzung</v>
      </c>
    </row>
    <row r="19" spans="1:5" ht="54" customHeight="1">
      <c r="A19" s="341"/>
      <c r="B19" s="342"/>
      <c r="C19" s="343"/>
    </row>
    <row r="20" spans="1:5" ht="13.5" customHeight="1"/>
    <row r="21" spans="1:5" ht="13.5" customHeight="1">
      <c r="A21" s="243" t="str">
        <f>txt!B218&amp;":"</f>
        <v>Definitionen:</v>
      </c>
    </row>
    <row r="22" spans="1:5" ht="7.5" customHeight="1"/>
    <row r="23" spans="1:5" ht="27" customHeight="1">
      <c r="A23" s="105" t="str">
        <f>txt!B96</f>
        <v>Festpreis: Der im Voraus festgelegte Lieferumfang der Software wird zu einem bei Vertragsabschluss festgelegten Preis entwickelt.</v>
      </c>
    </row>
    <row r="24" spans="1:5" ht="7.5" customHeight="1"/>
    <row r="25" spans="1:5" ht="54" customHeight="1">
      <c r="A25" s="94" t="str">
        <f>txt!B97</f>
        <v xml:space="preserve">Zeithonorare: Der Preis der Software richtet sich nach der tatsächlich geleisteten Arbeitszeit. Die Zeithonorare können sich in Abhängigkeit von Qualifikationsniveau, Funktion und/oder Seniorität der Programmierer unterscheiden. </v>
      </c>
    </row>
    <row r="26" spans="1:5" ht="13.5" customHeight="1">
      <c r="A26" s="96"/>
    </row>
    <row r="27" spans="1:5" ht="13.5" customHeight="1">
      <c r="A27" s="78">
        <f>Steuerung!C4</f>
        <v>0</v>
      </c>
      <c r="C27" s="268" t="str">
        <f>txt!B221</f>
        <v>ZURÜCK</v>
      </c>
      <c r="E27" s="269" t="str">
        <f>IF(COUNTIF($C$12:$C$16,"")=5,"",IF(A27=1,txt!B222,""))</f>
        <v/>
      </c>
    </row>
    <row r="28" spans="1:5" ht="13.5" customHeight="1">
      <c r="A28" s="78"/>
      <c r="C28" s="62"/>
      <c r="E28" s="62"/>
    </row>
    <row r="29" spans="1:5" ht="13.5" customHeight="1">
      <c r="A29" s="78">
        <f>Steuerung!C6</f>
        <v>1</v>
      </c>
      <c r="E29" s="269" t="str">
        <f>IF(COUNTIF($C$12:$C$16,"")=5,"",IF(AND(A27=0,A29=1),txt!B222,""))</f>
        <v/>
      </c>
    </row>
    <row r="30" spans="1:5">
      <c r="C30" s="106"/>
    </row>
    <row r="31" spans="1:5">
      <c r="C31" s="106"/>
    </row>
    <row r="37" ht="12.95" customHeight="1"/>
  </sheetData>
  <sheetProtection algorithmName="SHA-512" hashValue="uQ+bgcCmUesSOadFM+zz/zPPg7fXpIf+VfMDJsGzKkA4CnlLcr3C6KWo+eJQGEj30U8E+CSW3TCMaG/+LxnSww==" saltValue="apgTttkfcc44Dr9iCmKZUg==" spinCount="100000" sheet="1" objects="1" scenarios="1"/>
  <mergeCells count="4">
    <mergeCell ref="A19:C19"/>
    <mergeCell ref="B1:D1"/>
    <mergeCell ref="B2:D2"/>
    <mergeCell ref="B3:D3"/>
  </mergeCells>
  <hyperlinks>
    <hyperlink ref="E27" location="'11cCH'!A1" display="'11cCH'!A1"/>
    <hyperlink ref="E29" location="'11hCH'!A1" display="'11hCH'!A1"/>
    <hyperlink ref="C27" location="'1'!A1" display="'1'!A1"/>
  </hyperlinks>
  <pageMargins left="0.74803149606299213" right="0.74803149606299213" top="0.39370078740157483" bottom="0.19685039370078741" header="0.51181102362204722" footer="0.51181102362204722"/>
  <pageSetup paperSize="9" scale="9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FF12FD64-6030-4F0D-9592-3019C1FCD349}">
            <xm:f>txt!$B$222</xm:f>
            <x14:dxf>
              <font>
                <u/>
                <color rgb="FF0000FF"/>
              </font>
              <fill>
                <patternFill patternType="solid">
                  <fgColor indexed="64"/>
                  <bgColor rgb="FFFFFF00"/>
                </patternFill>
              </fill>
            </x14:dxf>
          </x14:cfRule>
          <xm:sqref>E27:E29</xm:sqref>
        </x14:conditionalFormatting>
      </x14:conditionalFormatting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5" tint="0.39997558519241921"/>
    <pageSetUpPr fitToPage="1"/>
  </sheetPr>
  <dimension ref="A1:S46"/>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8.6640625" style="50" customWidth="1"/>
    <col min="4" max="5" width="12.6640625" style="50" customWidth="1"/>
    <col min="6" max="6" width="2.6640625" style="50" customWidth="1"/>
    <col min="7" max="7" width="8.6640625" style="50" customWidth="1"/>
    <col min="8" max="9" width="12.6640625" style="50" customWidth="1"/>
    <col min="10" max="10" width="32.6640625" style="50" customWidth="1"/>
    <col min="11" max="16384" width="10.6640625" style="50"/>
  </cols>
  <sheetData>
    <row r="1" spans="1:15" ht="15" customHeight="1">
      <c r="B1" s="336" t="str">
        <f>txt!$B$42</f>
        <v>Preiserhebung</v>
      </c>
      <c r="C1" s="336"/>
      <c r="D1" s="336"/>
      <c r="E1" s="336"/>
      <c r="F1" s="336"/>
      <c r="I1" s="51" t="str">
        <f>txt!$B$175</f>
        <v>Eidg. Departement des Innern</v>
      </c>
    </row>
    <row r="2" spans="1:15" ht="15" customHeight="1">
      <c r="B2" s="336" t="str">
        <f>txt!$B$43</f>
        <v>Produzentenpreisindex</v>
      </c>
      <c r="C2" s="336"/>
      <c r="D2" s="336"/>
      <c r="E2" s="336"/>
      <c r="F2" s="336"/>
      <c r="I2" s="51" t="str">
        <f>txt!$B$176</f>
        <v>Bundesamt für Statistik BFS</v>
      </c>
    </row>
    <row r="3" spans="1:15" ht="15" customHeight="1">
      <c r="B3" s="337" t="str">
        <f>txt!$B$44</f>
        <v>Informatikdienstleistungen</v>
      </c>
      <c r="C3" s="337"/>
      <c r="D3" s="337"/>
      <c r="E3" s="337"/>
      <c r="F3" s="337"/>
      <c r="I3" s="52" t="str">
        <f>txt!$B$177</f>
        <v>Abt. Wirtschaft, Sektion PREIS</v>
      </c>
    </row>
    <row r="4" spans="1:15" ht="13.5" customHeight="1">
      <c r="A4" s="63"/>
      <c r="B4" s="63"/>
      <c r="C4" s="63"/>
      <c r="D4" s="63"/>
      <c r="E4" s="63"/>
      <c r="F4" s="63"/>
      <c r="G4" s="63"/>
      <c r="H4" s="63"/>
      <c r="I4" s="63"/>
      <c r="J4" s="63"/>
      <c r="K4" s="63"/>
      <c r="L4" s="63"/>
      <c r="M4" s="63"/>
      <c r="N4" s="63"/>
      <c r="O4" s="63"/>
    </row>
    <row r="5" spans="1:15" ht="13.5" customHeight="1">
      <c r="A5" s="63" t="str">
        <f>txt!B46</f>
        <v>PMS-Nr. 0</v>
      </c>
      <c r="B5" s="63"/>
      <c r="C5" s="63"/>
      <c r="D5" s="63"/>
      <c r="E5" s="63"/>
      <c r="F5" s="63"/>
      <c r="G5" s="63"/>
      <c r="H5" s="63"/>
      <c r="I5" s="51" t="str">
        <f>txt!B45</f>
        <v/>
      </c>
      <c r="K5" s="63"/>
      <c r="L5" s="63"/>
      <c r="M5" s="63"/>
      <c r="N5" s="63"/>
      <c r="O5" s="63"/>
    </row>
    <row r="6" spans="1:15" ht="13.5" customHeight="1">
      <c r="A6" s="63"/>
      <c r="B6" s="63"/>
      <c r="C6" s="63"/>
      <c r="D6" s="63"/>
      <c r="E6" s="63"/>
      <c r="F6" s="63"/>
      <c r="G6" s="63"/>
      <c r="H6" s="63"/>
      <c r="I6" s="63"/>
      <c r="J6" s="63"/>
      <c r="K6" s="63"/>
      <c r="L6" s="63"/>
      <c r="M6" s="63"/>
      <c r="N6" s="63"/>
      <c r="O6" s="63"/>
    </row>
    <row r="7" spans="1:15" ht="13.5" customHeight="1">
      <c r="A7" s="63" t="str">
        <f>txt!B47&amp;": "&amp;txt!B49</f>
        <v>Geschäftsfeld: Programmierungstätigkeiten</v>
      </c>
      <c r="B7" s="63"/>
      <c r="C7" s="63"/>
      <c r="D7" s="63"/>
      <c r="E7" s="63"/>
      <c r="F7" s="63"/>
      <c r="G7" s="349" t="str">
        <f>" "&amp;REPT("|",INT(Steuerung!AA4*105))</f>
        <v xml:space="preserve"> </v>
      </c>
      <c r="H7" s="350"/>
      <c r="I7" s="351"/>
      <c r="K7" s="63"/>
      <c r="L7" s="63"/>
      <c r="M7" s="63"/>
      <c r="N7" s="63"/>
      <c r="O7" s="63"/>
    </row>
    <row r="8" spans="1:15" ht="13.5" customHeight="1">
      <c r="A8" s="63" t="str">
        <f>txt!B48&amp;": "&amp;txt!B55</f>
        <v>Dienstleistungstyp: Software nach Kundenwunsch</v>
      </c>
      <c r="B8" s="63"/>
      <c r="C8" s="63"/>
      <c r="D8" s="63"/>
      <c r="E8" s="63"/>
      <c r="F8" s="63"/>
      <c r="G8" s="63"/>
      <c r="H8" s="63"/>
      <c r="I8" s="65" t="str">
        <f>IF($A$17="",txt!B232,IF($D$17="",txt!B233,IF($E$17="",txt!B234,IF(A31=1,"",""))))</f>
        <v>Bitte beschreiben Sie die für Ihr Unternehmen zentrale Software</v>
      </c>
      <c r="J8" s="63"/>
      <c r="K8" s="63"/>
      <c r="L8" s="63"/>
      <c r="M8" s="63"/>
      <c r="N8" s="63"/>
      <c r="O8" s="63"/>
    </row>
    <row r="9" spans="1:15" ht="13.5" customHeight="1">
      <c r="A9" s="53"/>
      <c r="B9" s="97"/>
      <c r="C9" s="97"/>
      <c r="D9" s="97"/>
      <c r="E9" s="97"/>
      <c r="F9" s="97"/>
      <c r="G9" s="97"/>
      <c r="H9" s="97"/>
      <c r="I9" s="97"/>
      <c r="J9" s="98"/>
      <c r="L9" s="63"/>
      <c r="N9" s="63"/>
    </row>
    <row r="10" spans="1:15" s="57" customFormat="1" ht="13.5" customHeight="1">
      <c r="A10" s="107" t="str">
        <f>txt!B128</f>
        <v>Zu welchem Preis bieten Sie die von Ihnen beschriebene Software an?</v>
      </c>
      <c r="B10" s="97"/>
      <c r="C10" s="97"/>
      <c r="D10" s="97"/>
      <c r="E10" s="97"/>
      <c r="F10" s="97"/>
      <c r="G10" s="97"/>
      <c r="H10" s="97"/>
      <c r="I10" s="97"/>
      <c r="J10" s="108"/>
    </row>
    <row r="11" spans="1:15" ht="13.5" customHeight="1">
      <c r="A11" s="53"/>
      <c r="B11" s="97"/>
      <c r="C11" s="97"/>
      <c r="D11" s="97"/>
      <c r="E11" s="97"/>
      <c r="F11" s="97"/>
      <c r="G11" s="97"/>
      <c r="H11" s="97"/>
      <c r="I11" s="97"/>
      <c r="J11" s="98"/>
    </row>
    <row r="12" spans="1:15" ht="13.5" customHeight="1">
      <c r="B12" s="97"/>
      <c r="C12" s="97"/>
      <c r="D12" s="57" t="str">
        <f>txt!B157</f>
        <v>Kunde in der Schweiz</v>
      </c>
      <c r="E12" s="97"/>
      <c r="J12" s="98"/>
    </row>
    <row r="13" spans="1:15" ht="13.5" customHeight="1">
      <c r="A13" s="352" t="str">
        <f>txt!B129&amp;":"</f>
        <v>Bitte beschreiben Sie eine bis drei für ihr Unternehmen zentrale Softwarelösungen, die Sie auf Kundenwunsch erstellt haben (inkl. Kundenauftragsidentifikator, z.B. Auftragsnummer):</v>
      </c>
      <c r="B13" s="97"/>
      <c r="C13" s="97"/>
      <c r="D13" s="97"/>
      <c r="E13" s="97"/>
      <c r="J13" s="98"/>
    </row>
    <row r="14" spans="1:15" ht="13.5" customHeight="1">
      <c r="A14" s="352"/>
      <c r="B14" s="97"/>
      <c r="C14" s="97"/>
      <c r="D14" s="97" t="str">
        <f>txt!B23</f>
        <v>März 2022</v>
      </c>
      <c r="E14" s="97" t="str">
        <f>txt!B24</f>
        <v>März 2021</v>
      </c>
      <c r="J14" s="98"/>
    </row>
    <row r="15" spans="1:15" ht="13.5" customHeight="1">
      <c r="A15" s="352"/>
      <c r="B15" s="97"/>
      <c r="C15" s="97"/>
      <c r="D15" s="97" t="str">
        <f>txt!B166</f>
        <v>Preis</v>
      </c>
      <c r="E15" s="97" t="str">
        <f>txt!B166</f>
        <v>Preis</v>
      </c>
      <c r="J15" s="98"/>
    </row>
    <row r="16" spans="1:15" ht="13.5" customHeight="1">
      <c r="A16" s="109"/>
      <c r="B16" s="104"/>
      <c r="C16" s="104"/>
      <c r="D16" s="104"/>
      <c r="E16" s="104"/>
    </row>
    <row r="17" spans="1:19" ht="40.5" customHeight="1">
      <c r="A17" s="276"/>
      <c r="B17" s="110"/>
      <c r="C17" s="110"/>
      <c r="D17" s="275"/>
      <c r="E17" s="277"/>
      <c r="J17" s="74"/>
      <c r="L17" s="347"/>
      <c r="M17" s="347"/>
      <c r="N17" s="347"/>
      <c r="O17" s="347"/>
      <c r="P17" s="347"/>
      <c r="Q17" s="347"/>
      <c r="R17" s="347"/>
      <c r="S17" s="347"/>
    </row>
    <row r="18" spans="1:19" s="80" customFormat="1" ht="7.5" customHeight="1">
      <c r="A18" s="111"/>
      <c r="B18" s="111"/>
      <c r="C18" s="111"/>
      <c r="D18" s="111"/>
      <c r="E18" s="111"/>
      <c r="J18" s="74"/>
    </row>
    <row r="19" spans="1:19" ht="40.5" customHeight="1">
      <c r="A19" s="276"/>
      <c r="B19" s="110"/>
      <c r="C19" s="110"/>
      <c r="D19" s="275"/>
      <c r="E19" s="275"/>
      <c r="J19" s="96"/>
    </row>
    <row r="20" spans="1:19" s="80" customFormat="1" ht="7.5" customHeight="1">
      <c r="A20" s="111"/>
      <c r="B20" s="111"/>
      <c r="C20" s="111"/>
      <c r="D20" s="111"/>
      <c r="E20" s="111"/>
      <c r="J20" s="111"/>
    </row>
    <row r="21" spans="1:19" ht="40.5" customHeight="1">
      <c r="A21" s="276"/>
      <c r="B21" s="110"/>
      <c r="C21" s="110"/>
      <c r="D21" s="275"/>
      <c r="E21" s="275"/>
      <c r="J21" s="96"/>
    </row>
    <row r="22" spans="1:19" s="68" customFormat="1" ht="7.5" customHeight="1">
      <c r="A22" s="96"/>
      <c r="B22" s="96"/>
      <c r="C22" s="96"/>
      <c r="D22" s="96"/>
      <c r="E22" s="96"/>
      <c r="F22" s="96"/>
      <c r="G22" s="96"/>
      <c r="H22" s="96"/>
      <c r="J22" s="96"/>
      <c r="L22" s="50"/>
    </row>
    <row r="23" spans="1:19" s="68" customFormat="1" ht="54" customHeight="1">
      <c r="A23" s="94" t="str">
        <f>txt!B131</f>
        <v>Die ausgewählte Software sollte möglichst repräsentativ für Ihre aktuellen und auch zukünftigen Programmierungstätigkeiten sein. Insbesondere werden übliche (d.h. immer wiederkehrende) grössere Aufträge einem einmaligen Grossauftrag vorgezogen.</v>
      </c>
      <c r="B23" s="96"/>
      <c r="C23" s="96"/>
      <c r="D23" s="348" t="str">
        <f>txt!B159</f>
        <v>Defintion "Kunde in der Schweiz": Adresse des Leistungsbezügers im Inland.</v>
      </c>
      <c r="E23" s="348"/>
      <c r="F23" s="96"/>
      <c r="G23" s="96"/>
      <c r="H23" s="96"/>
      <c r="J23" s="96"/>
    </row>
    <row r="24" spans="1:19" s="68" customFormat="1" ht="7.5" customHeight="1">
      <c r="A24" s="96"/>
      <c r="B24" s="96"/>
      <c r="C24" s="96"/>
      <c r="D24" s="96"/>
      <c r="E24" s="96"/>
      <c r="F24" s="96"/>
      <c r="G24" s="96"/>
      <c r="H24" s="96"/>
      <c r="J24" s="96"/>
    </row>
    <row r="25" spans="1:19" s="68" customFormat="1" ht="27" customHeight="1">
      <c r="A25" s="186" t="str">
        <f>txt!B125</f>
        <v>Bitte geben Sie den Preis bei Vertragsabschluss an.</v>
      </c>
      <c r="B25" s="185"/>
      <c r="C25" s="96"/>
      <c r="D25" s="348" t="str">
        <f>txt!B169</f>
        <v>Die Preise sind ohne Mehrwertsteuer anzugeben.</v>
      </c>
      <c r="E25" s="348"/>
      <c r="F25" s="96"/>
      <c r="G25" s="96"/>
      <c r="H25" s="96"/>
      <c r="J25" s="96"/>
    </row>
    <row r="26" spans="1:19" s="68" customFormat="1" ht="7.5" customHeight="1">
      <c r="A26" s="96"/>
      <c r="B26" s="96"/>
      <c r="C26" s="96"/>
      <c r="D26" s="96"/>
      <c r="E26" s="96"/>
      <c r="F26" s="96"/>
      <c r="G26" s="96"/>
      <c r="H26" s="96"/>
      <c r="J26" s="96"/>
    </row>
    <row r="27" spans="1:19" s="68" customFormat="1" ht="54" customHeight="1">
      <c r="A27" s="184" t="str">
        <f>txt!B124</f>
        <v>Der Kundenidentifikator (Auftragsnummer, Kundennummer etc.) dient Ihnen ausschliesslich zur Identifizierung des Auftrags im Folgejahr. Sie können aus Sicherheitsgründen diese Nummer anonymisieren.</v>
      </c>
      <c r="B27" s="96"/>
      <c r="C27" s="96"/>
      <c r="D27" s="348" t="str">
        <f>txt!B170</f>
        <v>Bitte geben Sie an, zu welchem Preis Sie die identische Dienstleistung dem gleichen Kunden im Vorjahr (im März 2021) angeboten haben/hätten?</v>
      </c>
      <c r="E27" s="348"/>
      <c r="F27" s="96"/>
      <c r="G27" s="96"/>
      <c r="H27" s="96"/>
      <c r="J27" s="96"/>
    </row>
    <row r="28" spans="1:19" s="68" customFormat="1" ht="13.5" customHeight="1">
      <c r="A28" s="69" t="str">
        <f>txt!B173&amp;":"</f>
        <v>Bemerkungen:</v>
      </c>
      <c r="B28" s="96"/>
      <c r="C28" s="96"/>
      <c r="D28" s="96"/>
      <c r="E28" s="96"/>
      <c r="F28" s="96"/>
      <c r="G28" s="96"/>
      <c r="H28" s="96"/>
      <c r="J28" s="96"/>
    </row>
    <row r="29" spans="1:19" s="68" customFormat="1" ht="54" customHeight="1">
      <c r="A29" s="344"/>
      <c r="B29" s="345"/>
      <c r="C29" s="345"/>
      <c r="D29" s="345"/>
      <c r="E29" s="345"/>
      <c r="F29" s="345"/>
      <c r="G29" s="345"/>
      <c r="H29" s="345"/>
      <c r="I29" s="346"/>
    </row>
    <row r="30" spans="1:19" s="68" customFormat="1" ht="13.5" customHeight="1"/>
    <row r="31" spans="1:19" ht="13.5" customHeight="1">
      <c r="A31" s="78">
        <f>Steuerung!E4</f>
        <v>0</v>
      </c>
      <c r="C31" s="268" t="str">
        <f>txt!B221</f>
        <v>ZURÜCK</v>
      </c>
      <c r="G31" s="269" t="str">
        <f>IF($A$17="","",IF($D$17="","",IF($E$17="","",IF(A31=1,txt!B222,""))))</f>
        <v/>
      </c>
      <c r="H31" s="112"/>
    </row>
    <row r="32" spans="1:19">
      <c r="A32" s="78"/>
      <c r="D32" s="62"/>
      <c r="F32" s="112"/>
      <c r="G32" s="62"/>
      <c r="H32" s="112"/>
    </row>
    <row r="33" spans="1:8">
      <c r="A33" s="78">
        <f>Steuerung!H4</f>
        <v>0</v>
      </c>
      <c r="G33" s="269" t="str">
        <f>IF($A$17="","",IF($D$17="","",IF($E$17="","",IF(AND(A31=0,A33=1),txt!B222,""))))</f>
        <v/>
      </c>
      <c r="H33" s="62"/>
    </row>
    <row r="34" spans="1:8">
      <c r="A34" s="78"/>
      <c r="F34" s="62"/>
      <c r="G34" s="62"/>
      <c r="H34" s="62"/>
    </row>
    <row r="35" spans="1:8">
      <c r="A35" s="78">
        <f>Steuerung!J4</f>
        <v>0</v>
      </c>
      <c r="G35" s="269" t="str">
        <f>IF($A$17="","",IF($D$17="","",IF($E$17="","",IF(AND(A31=0,A33=0,A35=1),txt!B222,""))))</f>
        <v/>
      </c>
      <c r="H35" s="62"/>
    </row>
    <row r="36" spans="1:8">
      <c r="A36" s="78"/>
      <c r="F36" s="62"/>
      <c r="G36" s="62"/>
      <c r="H36" s="62"/>
    </row>
    <row r="37" spans="1:8">
      <c r="A37" s="78">
        <f>Steuerung!L4</f>
        <v>0</v>
      </c>
      <c r="G37" s="269" t="str">
        <f>IF($A$17="","",IF($D$17="","",IF($E$17="","",IF(AND(A31=0,A33=0,A35=0,A37=1),txt!B222,""))))</f>
        <v/>
      </c>
      <c r="H37" s="62"/>
    </row>
    <row r="38" spans="1:8">
      <c r="A38" s="78"/>
      <c r="F38" s="62"/>
      <c r="G38" s="62"/>
      <c r="H38" s="62"/>
    </row>
    <row r="39" spans="1:8">
      <c r="A39" s="78">
        <f>Steuerung!N4</f>
        <v>0</v>
      </c>
      <c r="G39" s="269" t="str">
        <f>IF($A$17="","",IF($D$17="","",IF($E$17="","",IF(AND(A31=0,A33=0,A35=0,A37=0,A39=1),txt!B222,""))))</f>
        <v/>
      </c>
      <c r="H39" s="62"/>
    </row>
    <row r="40" spans="1:8">
      <c r="A40" s="78"/>
      <c r="F40" s="62"/>
      <c r="G40" s="62"/>
      <c r="H40" s="62"/>
    </row>
    <row r="41" spans="1:8">
      <c r="A41" s="78">
        <f>Steuerung!P4</f>
        <v>1</v>
      </c>
      <c r="G41" s="274" t="str">
        <f>IF($A$17="","",IF($D$17="","",IF($E$17="","",IF(AND(A31=0,A33=0,A35=0,A37=0,A39=0,A41=1),txt!B222,""))))</f>
        <v/>
      </c>
      <c r="H41" s="62"/>
    </row>
    <row r="46" spans="1:8" ht="12.95" customHeight="1"/>
  </sheetData>
  <sheetProtection algorithmName="SHA-512" hashValue="DkPvaialeQr0AfK4AxZ1wjQSw+K1eTS8J4jH0Si8YUH+stI3ex8u9RuUOPv4YhDZAZI9aGV3o0MBipiumL3M2Q==" saltValue="YbeRmibwgeuZFY8hfM1P6Q==" spinCount="100000" sheet="1" objects="1" scenarios="1"/>
  <mergeCells count="10">
    <mergeCell ref="B1:F1"/>
    <mergeCell ref="B2:F2"/>
    <mergeCell ref="B3:F3"/>
    <mergeCell ref="A29:I29"/>
    <mergeCell ref="L17:S17"/>
    <mergeCell ref="D23:E23"/>
    <mergeCell ref="G7:I7"/>
    <mergeCell ref="A13:A15"/>
    <mergeCell ref="D27:E27"/>
    <mergeCell ref="D25:E25"/>
  </mergeCells>
  <conditionalFormatting sqref="F32 H31:H32">
    <cfRule type="containsText" dxfId="112" priority="11" operator="containsText" text="WEITER">
      <formula>NOT(ISERROR(SEARCH("WEITER",F31)))</formula>
    </cfRule>
  </conditionalFormatting>
  <conditionalFormatting sqref="F34 H33:H34">
    <cfRule type="containsText" dxfId="111" priority="8" operator="containsText" text="WEITER">
      <formula>NOT(ISERROR(SEARCH("WEITER",F33)))</formula>
    </cfRule>
  </conditionalFormatting>
  <conditionalFormatting sqref="F36 H35:H36">
    <cfRule type="containsText" dxfId="110" priority="7" operator="containsText" text="WEITER">
      <formula>NOT(ISERROR(SEARCH("WEITER",F35)))</formula>
    </cfRule>
  </conditionalFormatting>
  <conditionalFormatting sqref="F38 H37:H38">
    <cfRule type="containsText" dxfId="109" priority="6" operator="containsText" text="WEITER">
      <formula>NOT(ISERROR(SEARCH("WEITER",F37)))</formula>
    </cfRule>
  </conditionalFormatting>
  <conditionalFormatting sqref="F40 H39:H40">
    <cfRule type="containsText" dxfId="108" priority="5" operator="containsText" text="WEITER">
      <formula>NOT(ISERROR(SEARCH("WEITER",F39)))</formula>
    </cfRule>
  </conditionalFormatting>
  <conditionalFormatting sqref="H41">
    <cfRule type="containsText" dxfId="107" priority="4" operator="containsText" text="WEITER">
      <formula>NOT(ISERROR(SEARCH("WEITER",H41)))</formula>
    </cfRule>
  </conditionalFormatting>
  <dataValidations count="4">
    <dataValidation type="textLength" allowBlank="1" showInputMessage="1" showErrorMessage="1" error="Bitte verwenden Sie nicht mehr als 199 Zeichen / S.v.p. utilisez 199 caractères au maximum" sqref="A21 A19">
      <formula1>0</formula1>
      <formula2>199</formula2>
    </dataValidation>
    <dataValidation type="textLength" allowBlank="1" showInputMessage="1" showErrorMessage="1" error="Bitte verwenden Sie nicht mehr als 199 Zeichen / S.v.p. utilisez 199 caractères au maximum" sqref="A17">
      <formula1>0</formula1>
      <formula2>199</formula2>
    </dataValidation>
    <dataValidation type="custom" errorStyle="warning" allowBlank="1" showInputMessage="1" showErrorMessage="1" errorTitle="Abweichung / Déviation" error="_x000a_Die Preisangabe unterscheidet sich um mehr als 10% zum Vorjahr. Handelt es sich um einen identischen Dienstleistungsumfang?_x000a__x000a_La valeur de l'année précédente dévie de plus de 10%. L'étendue des prestations est-elle identique?" sqref="D17 D19 D21">
      <formula1>(ABS(D17/E17)-1)&lt;=0.1</formula1>
    </dataValidation>
    <dataValidation type="custom" errorStyle="warning" allowBlank="1" showInputMessage="1" showErrorMessage="1" errorTitle="Abweichung / Déviation" error="Die Preisangabe unterscheidet sich um mehr als 10% zum Vorjahr. Handelt es sich um einen identischen Dienstleistungsumfang?_x000a__x000a_La valeur de l'année précédente dévie de plus de 10%. L'étendue des prestations est-elle identique?" sqref="E17 E19 E21">
      <formula1>(ABS(D17/E17)-1)&lt;=0.1</formula1>
    </dataValidation>
  </dataValidations>
  <hyperlinks>
    <hyperlink ref="C31" location="'101'!A1" display="'101'!A1"/>
    <hyperlink ref="G31" location="'11cEX'!A1" display="'11cEX'!A1"/>
    <hyperlink ref="G33" location="'102'!A1" display="'102'!A1"/>
    <hyperlink ref="G35" location="'2'!A1" display="'2'!A1"/>
    <hyperlink ref="G37" location="'3'!A1" display="'3'!A1"/>
    <hyperlink ref="G39" location="'4'!A1" display="'4'!A1"/>
    <hyperlink ref="G41" location="'5'!A1" display="'5'!A1"/>
  </hyperlinks>
  <pageMargins left="0.74803149606299213" right="0.74803149606299213" top="0.39370078740157483" bottom="0.19685039370078741" header="0.51181102362204722" footer="0.51181102362204722"/>
  <pageSetup paperSize="9" scale="88"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ellIs" priority="1" operator="equal" id="{567B2487-C31E-4644-80DE-EAA4F7F8C49E}">
            <xm:f>txt!$B$222</xm:f>
            <x14:dxf>
              <font>
                <u/>
                <color rgb="FF0000FF"/>
              </font>
              <fill>
                <patternFill patternType="solid">
                  <fgColor indexed="64"/>
                  <bgColor rgb="FFFFFF00"/>
                </patternFill>
              </fill>
            </x14:dxf>
          </x14:cfRule>
          <xm:sqref>G31:G41</xm:sqref>
        </x14:conditionalFormatting>
      </x14:conditionalFormatting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5" tint="0.39997558519241921"/>
    <pageSetUpPr fitToPage="1"/>
  </sheetPr>
  <dimension ref="A1:S44"/>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8.6640625" style="50" customWidth="1"/>
    <col min="4" max="5" width="12.6640625" style="50" customWidth="1"/>
    <col min="6" max="6" width="2.6640625" style="50" customWidth="1"/>
    <col min="7" max="7" width="8.6640625" style="50" customWidth="1"/>
    <col min="8" max="9" width="12.6640625" style="50" customWidth="1"/>
    <col min="10" max="10" width="35.6640625" style="50" customWidth="1"/>
    <col min="11" max="16384" width="10.6640625" style="50"/>
  </cols>
  <sheetData>
    <row r="1" spans="1:15" ht="15" customHeight="1">
      <c r="B1" s="336" t="str">
        <f>txt!$B$42</f>
        <v>Preiserhebung</v>
      </c>
      <c r="C1" s="336"/>
      <c r="D1" s="336"/>
      <c r="E1" s="336"/>
      <c r="F1" s="336"/>
      <c r="I1" s="51" t="str">
        <f>txt!$B$175</f>
        <v>Eidg. Departement des Innern</v>
      </c>
    </row>
    <row r="2" spans="1:15" ht="15" customHeight="1">
      <c r="B2" s="336" t="str">
        <f>txt!$B$43</f>
        <v>Produzentenpreisindex</v>
      </c>
      <c r="C2" s="336"/>
      <c r="D2" s="336"/>
      <c r="E2" s="336"/>
      <c r="F2" s="336"/>
      <c r="I2" s="51" t="str">
        <f>txt!$B$176</f>
        <v>Bundesamt für Statistik BFS</v>
      </c>
    </row>
    <row r="3" spans="1:15" ht="15" customHeight="1">
      <c r="B3" s="337" t="str">
        <f>txt!$B$44</f>
        <v>Informatikdienstleistungen</v>
      </c>
      <c r="C3" s="337"/>
      <c r="D3" s="337"/>
      <c r="E3" s="337"/>
      <c r="F3" s="337"/>
      <c r="I3" s="52" t="str">
        <f>txt!$B$177</f>
        <v>Abt. Wirtschaft, Sektion PREIS</v>
      </c>
    </row>
    <row r="4" spans="1:15" ht="13.5" customHeight="1"/>
    <row r="5" spans="1:15" ht="13.5" customHeight="1">
      <c r="A5" s="63" t="str">
        <f>txt!B46</f>
        <v>PMS-Nr. 0</v>
      </c>
      <c r="B5" s="63"/>
      <c r="C5" s="63"/>
      <c r="D5" s="63"/>
      <c r="E5" s="63"/>
      <c r="F5" s="63"/>
      <c r="G5" s="63"/>
      <c r="H5" s="63"/>
      <c r="I5" s="51" t="str">
        <f>txt!B45</f>
        <v/>
      </c>
      <c r="K5" s="63"/>
      <c r="L5" s="63"/>
      <c r="M5" s="63"/>
      <c r="O5" s="63"/>
    </row>
    <row r="6" spans="1:15" ht="13.5" customHeight="1">
      <c r="A6" s="63"/>
      <c r="B6" s="63"/>
      <c r="C6" s="63"/>
      <c r="D6" s="63"/>
      <c r="E6" s="63"/>
      <c r="F6" s="63"/>
      <c r="G6" s="63"/>
      <c r="H6" s="63"/>
      <c r="I6" s="63"/>
      <c r="J6" s="63"/>
      <c r="K6" s="63"/>
      <c r="L6" s="63"/>
      <c r="M6" s="63"/>
      <c r="N6" s="63"/>
      <c r="O6" s="63"/>
    </row>
    <row r="7" spans="1:15" ht="13.5" customHeight="1">
      <c r="A7" s="63" t="str">
        <f>txt!B47&amp;": "&amp;txt!B49</f>
        <v>Geschäftsfeld: Programmierungstätigkeiten</v>
      </c>
      <c r="B7" s="63"/>
      <c r="C7" s="63"/>
      <c r="D7" s="63"/>
      <c r="E7" s="63"/>
      <c r="F7" s="63"/>
      <c r="G7" s="349" t="str">
        <f>" "&amp;REPT("|",INT(Steuerung!AF4*105))</f>
        <v xml:space="preserve"> </v>
      </c>
      <c r="H7" s="350"/>
      <c r="I7" s="351"/>
      <c r="J7" s="63"/>
      <c r="K7" s="63"/>
      <c r="L7" s="63"/>
      <c r="M7" s="63"/>
      <c r="N7" s="63"/>
      <c r="O7" s="63"/>
    </row>
    <row r="8" spans="1:15" ht="13.5" customHeight="1">
      <c r="A8" s="63" t="str">
        <f>txt!B48&amp;": "&amp;txt!B55</f>
        <v>Dienstleistungstyp: Software nach Kundenwunsch</v>
      </c>
      <c r="B8" s="63"/>
      <c r="C8" s="63"/>
      <c r="D8" s="63"/>
      <c r="E8" s="63"/>
      <c r="F8" s="63"/>
      <c r="G8" s="63"/>
      <c r="H8" s="63"/>
      <c r="I8" s="65" t="str">
        <f>IF($A$17="",txt!B232,IF($G$17="",txt!B235,IF($H$17="",txt!B233,IF($I$17="",txt!B234,IF(A31=1,"","")))))</f>
        <v>Bitte beschreiben Sie die für Ihr Unternehmen zentrale Software</v>
      </c>
      <c r="J8" s="63"/>
      <c r="K8" s="63"/>
      <c r="L8" s="63"/>
      <c r="M8" s="63"/>
      <c r="N8" s="63"/>
      <c r="O8" s="63"/>
    </row>
    <row r="9" spans="1:15" ht="13.5" customHeight="1">
      <c r="A9" s="53"/>
      <c r="B9" s="97"/>
      <c r="C9" s="97"/>
      <c r="D9" s="97"/>
      <c r="E9" s="97"/>
      <c r="F9" s="97"/>
      <c r="G9" s="97"/>
      <c r="H9" s="97"/>
      <c r="I9" s="97"/>
      <c r="J9" s="98"/>
    </row>
    <row r="10" spans="1:15" s="57" customFormat="1" ht="13.5" customHeight="1">
      <c r="A10" s="107" t="str">
        <f>txt!B128</f>
        <v>Zu welchem Preis bieten Sie die von Ihnen beschriebene Software an?</v>
      </c>
      <c r="B10" s="97"/>
      <c r="C10" s="97"/>
      <c r="D10" s="97"/>
      <c r="E10" s="97"/>
      <c r="F10" s="97"/>
      <c r="G10" s="97"/>
      <c r="H10" s="97"/>
      <c r="I10" s="97"/>
      <c r="J10" s="108"/>
    </row>
    <row r="11" spans="1:15" ht="13.5" customHeight="1">
      <c r="A11" s="53"/>
      <c r="B11" s="97"/>
      <c r="C11" s="97"/>
      <c r="D11" s="97"/>
      <c r="E11" s="97"/>
      <c r="F11" s="97"/>
      <c r="G11" s="97"/>
      <c r="H11" s="97"/>
      <c r="I11" s="97"/>
      <c r="J11" s="98"/>
    </row>
    <row r="12" spans="1:15" ht="13.5" customHeight="1">
      <c r="B12" s="97"/>
      <c r="C12" s="97"/>
      <c r="D12" s="57"/>
      <c r="E12" s="97"/>
      <c r="G12" s="57" t="str">
        <f>txt!B158</f>
        <v>Kunde im Ausland</v>
      </c>
      <c r="J12" s="98"/>
    </row>
    <row r="13" spans="1:15" ht="13.5" customHeight="1">
      <c r="A13" s="352" t="str">
        <f>txt!B129&amp;":"</f>
        <v>Bitte beschreiben Sie eine bis drei für ihr Unternehmen zentrale Softwarelösungen, die Sie auf Kundenwunsch erstellt haben (inkl. Kundenauftragsidentifikator, z.B. Auftragsnummer):</v>
      </c>
      <c r="B13" s="97"/>
      <c r="C13" s="97"/>
      <c r="D13" s="97"/>
      <c r="E13" s="97"/>
      <c r="J13" s="98"/>
    </row>
    <row r="14" spans="1:15" ht="13.5" customHeight="1">
      <c r="A14" s="352"/>
      <c r="B14" s="97"/>
      <c r="C14" s="97"/>
      <c r="H14" s="97" t="str">
        <f>txt!B23</f>
        <v>März 2022</v>
      </c>
      <c r="I14" s="97" t="str">
        <f>txt!B24</f>
        <v>März 2021</v>
      </c>
      <c r="J14" s="98"/>
    </row>
    <row r="15" spans="1:15" ht="13.5" customHeight="1">
      <c r="A15" s="352"/>
      <c r="B15" s="97"/>
      <c r="C15" s="97"/>
      <c r="G15" s="57" t="str">
        <f>txt!B161</f>
        <v>Währung</v>
      </c>
      <c r="H15" s="97" t="str">
        <f>txt!B166</f>
        <v>Preis</v>
      </c>
      <c r="I15" s="97" t="str">
        <f>txt!B166</f>
        <v>Preis</v>
      </c>
      <c r="J15" s="98"/>
    </row>
    <row r="16" spans="1:15" ht="13.5" customHeight="1">
      <c r="A16" s="53"/>
      <c r="B16" s="97"/>
      <c r="C16" s="97"/>
      <c r="D16" s="97"/>
      <c r="E16" s="97"/>
      <c r="J16" s="98"/>
    </row>
    <row r="17" spans="1:19" ht="40.5" customHeight="1">
      <c r="A17" s="278"/>
      <c r="B17" s="110"/>
      <c r="C17" s="110"/>
      <c r="D17" s="110"/>
      <c r="E17" s="110"/>
      <c r="F17" s="110"/>
      <c r="G17" s="279"/>
      <c r="H17" s="280"/>
      <c r="I17" s="280"/>
      <c r="J17" s="74"/>
      <c r="L17" s="347"/>
      <c r="M17" s="347"/>
      <c r="N17" s="347"/>
      <c r="O17" s="347"/>
      <c r="P17" s="347"/>
      <c r="Q17" s="347"/>
      <c r="R17" s="347"/>
      <c r="S17" s="347"/>
    </row>
    <row r="18" spans="1:19" s="80" customFormat="1" ht="7.5" customHeight="1">
      <c r="A18" s="96"/>
      <c r="B18" s="111"/>
      <c r="C18" s="111"/>
      <c r="D18" s="111"/>
      <c r="E18" s="111"/>
      <c r="F18" s="111"/>
      <c r="G18" s="113"/>
      <c r="H18" s="114"/>
      <c r="I18" s="114"/>
      <c r="J18" s="111"/>
    </row>
    <row r="19" spans="1:19" s="80" customFormat="1" ht="40.5" customHeight="1">
      <c r="A19" s="278"/>
      <c r="B19" s="111"/>
      <c r="C19" s="111"/>
      <c r="D19" s="111"/>
      <c r="E19" s="111"/>
      <c r="F19" s="111"/>
      <c r="G19" s="279"/>
      <c r="H19" s="280"/>
      <c r="I19" s="280"/>
      <c r="J19" s="74"/>
    </row>
    <row r="20" spans="1:19" s="80" customFormat="1" ht="7.5" customHeight="1">
      <c r="A20" s="96"/>
      <c r="B20" s="111"/>
      <c r="C20" s="111"/>
      <c r="D20" s="111"/>
      <c r="E20" s="111"/>
      <c r="F20" s="111"/>
      <c r="G20" s="113"/>
      <c r="H20" s="114"/>
      <c r="I20" s="114"/>
      <c r="J20" s="353"/>
    </row>
    <row r="21" spans="1:19" s="80" customFormat="1" ht="40.5" customHeight="1">
      <c r="A21" s="278"/>
      <c r="B21" s="111"/>
      <c r="C21" s="111"/>
      <c r="D21" s="111"/>
      <c r="E21" s="111"/>
      <c r="F21" s="111"/>
      <c r="G21" s="279"/>
      <c r="H21" s="280"/>
      <c r="I21" s="280"/>
      <c r="J21" s="353"/>
    </row>
    <row r="22" spans="1:19" s="80" customFormat="1" ht="7.5" customHeight="1">
      <c r="A22" s="111"/>
      <c r="B22" s="111"/>
      <c r="C22" s="111"/>
      <c r="D22" s="111"/>
      <c r="E22" s="111"/>
      <c r="F22" s="111"/>
      <c r="J22" s="111"/>
    </row>
    <row r="23" spans="1:19" s="80" customFormat="1" ht="54" customHeight="1">
      <c r="A23" s="94" t="str">
        <f>txt!B131</f>
        <v>Die ausgewählte Software sollte möglichst repräsentativ für Ihre aktuellen und auch zukünftigen Programmierungstätigkeiten sein. Insbesondere werden übliche (d.h. immer wiederkehrende) grössere Aufträge einem einmaligen Grossauftrag vorgezogen.</v>
      </c>
      <c r="B23" s="111"/>
      <c r="C23" s="111"/>
      <c r="D23" s="111"/>
      <c r="E23" s="111"/>
      <c r="F23" s="111"/>
      <c r="G23" s="348" t="str">
        <f>txt!B160</f>
        <v>Definition "Kunde im Ausland": Adresse des Leistungsbezügers im Ausland.</v>
      </c>
      <c r="H23" s="348"/>
      <c r="I23" s="348"/>
      <c r="J23" s="111"/>
    </row>
    <row r="24" spans="1:19" s="80" customFormat="1" ht="7.5" customHeight="1">
      <c r="A24" s="111"/>
      <c r="B24" s="111"/>
      <c r="C24" s="111"/>
      <c r="D24" s="111"/>
      <c r="E24" s="111"/>
      <c r="F24" s="111"/>
      <c r="J24" s="111"/>
    </row>
    <row r="25" spans="1:19" s="80" customFormat="1" ht="27" customHeight="1">
      <c r="A25" s="186" t="str">
        <f>txt!B125</f>
        <v>Bitte geben Sie den Preis bei Vertragsabschluss an.</v>
      </c>
      <c r="B25" s="111"/>
      <c r="C25" s="111"/>
      <c r="D25" s="111"/>
      <c r="E25" s="111"/>
      <c r="F25" s="111"/>
      <c r="G25" s="348" t="str">
        <f>txt!B169</f>
        <v>Die Preise sind ohne Mehrwertsteuer anzugeben.</v>
      </c>
      <c r="H25" s="348"/>
      <c r="I25" s="348"/>
      <c r="J25" s="111"/>
    </row>
    <row r="26" spans="1:19" s="80" customFormat="1" ht="7.5" customHeight="1">
      <c r="A26" s="111"/>
      <c r="B26" s="111"/>
      <c r="C26" s="111"/>
      <c r="D26" s="111"/>
      <c r="E26" s="111"/>
      <c r="F26" s="111"/>
      <c r="J26" s="111"/>
    </row>
    <row r="27" spans="1:19" s="80" customFormat="1" ht="54" customHeight="1">
      <c r="A27" s="184" t="str">
        <f>txt!B124</f>
        <v>Der Kundenidentifikator (Auftragsnummer, Kundennummer etc.) dient Ihnen ausschliesslich zur Identifizierung des Auftrags im Folgejahr. Sie können aus Sicherheitsgründen diese Nummer anonymisieren.</v>
      </c>
      <c r="B27" s="111"/>
      <c r="C27" s="111"/>
      <c r="D27" s="111"/>
      <c r="E27" s="111"/>
      <c r="F27" s="111"/>
      <c r="G27" s="348" t="str">
        <f>txt!B170</f>
        <v>Bitte geben Sie an, zu welchem Preis Sie die identische Dienstleistung dem gleichen Kunden im Vorjahr (im März 2021) angeboten haben/hätten?</v>
      </c>
      <c r="H27" s="348"/>
      <c r="I27" s="348"/>
      <c r="J27" s="111"/>
    </row>
    <row r="28" spans="1:19" s="80" customFormat="1" ht="13.5" customHeight="1">
      <c r="A28" s="69" t="str">
        <f>txt!B173&amp;":"</f>
        <v>Bemerkungen:</v>
      </c>
      <c r="B28" s="111"/>
      <c r="C28" s="111"/>
      <c r="D28" s="111"/>
      <c r="E28" s="111"/>
      <c r="F28" s="111"/>
      <c r="J28" s="111"/>
    </row>
    <row r="29" spans="1:19" s="80" customFormat="1" ht="54" customHeight="1">
      <c r="A29" s="344"/>
      <c r="B29" s="345"/>
      <c r="C29" s="345"/>
      <c r="D29" s="345"/>
      <c r="E29" s="345"/>
      <c r="F29" s="345"/>
      <c r="G29" s="345"/>
      <c r="H29" s="345"/>
      <c r="I29" s="346"/>
      <c r="J29" s="111"/>
    </row>
    <row r="30" spans="1:19" s="80" customFormat="1" ht="13.5" customHeight="1">
      <c r="A30" s="111"/>
      <c r="B30" s="111"/>
      <c r="C30" s="111"/>
      <c r="D30" s="111"/>
      <c r="E30" s="111"/>
      <c r="F30" s="111"/>
      <c r="J30" s="111"/>
    </row>
    <row r="31" spans="1:19" ht="13.5" customHeight="1">
      <c r="A31" s="78">
        <f>Steuerung!H4</f>
        <v>0</v>
      </c>
      <c r="C31" s="268" t="str">
        <f>txt!B221</f>
        <v>ZURÜCK</v>
      </c>
      <c r="G31" s="269" t="str">
        <f>IF($A$17="","",IF($G$17="","",IF($H$17="","",IF($I$17="","",IF(A31=1,txt!B222,"")))))</f>
        <v/>
      </c>
      <c r="I31" s="115"/>
    </row>
    <row r="32" spans="1:19">
      <c r="A32" s="78"/>
      <c r="D32" s="62"/>
      <c r="F32" s="112"/>
      <c r="G32" s="62"/>
    </row>
    <row r="33" spans="1:7">
      <c r="A33" s="78">
        <f>Steuerung!J4</f>
        <v>0</v>
      </c>
      <c r="G33" s="269" t="str">
        <f>IF($A$17="","",IF($H$17="","",IF($I$17="","",IF(AND(A31=0,A33=1),txt!B222,""))))</f>
        <v/>
      </c>
    </row>
    <row r="34" spans="1:7">
      <c r="A34" s="78"/>
      <c r="F34" s="62"/>
      <c r="G34" s="62"/>
    </row>
    <row r="35" spans="1:7">
      <c r="A35" s="78">
        <f>Steuerung!L4</f>
        <v>0</v>
      </c>
      <c r="G35" s="269" t="str">
        <f>IF($A$17="","",IF($H$17="","",IF($I$17="","",IF(AND(A31=0,A33=0,A35=1),txt!B222,""))))</f>
        <v/>
      </c>
    </row>
    <row r="36" spans="1:7">
      <c r="A36" s="78"/>
      <c r="F36" s="62"/>
      <c r="G36" s="62"/>
    </row>
    <row r="37" spans="1:7">
      <c r="A37" s="78">
        <f>Steuerung!N4</f>
        <v>0</v>
      </c>
      <c r="G37" s="269" t="str">
        <f>IF($A$17="","",IF($H$17="","",IF($I$17="","",IF(AND(A31=0,A33=0,A35=0,A37=1),txt!B222,""))))</f>
        <v/>
      </c>
    </row>
    <row r="38" spans="1:7">
      <c r="A38" s="78"/>
      <c r="F38" s="62"/>
      <c r="G38" s="62"/>
    </row>
    <row r="39" spans="1:7" ht="15">
      <c r="A39" s="78">
        <f>Steuerung!P4</f>
        <v>1</v>
      </c>
      <c r="G39" s="271" t="str">
        <f>IF($A$17="","",IF($H$17="","",IF($I$17="","",IF(AND(A31=0,A33=0,A35=0,A37=0,A39=1),txt!B222,""))))</f>
        <v/>
      </c>
    </row>
    <row r="44" spans="1:7" ht="12.95" customHeight="1"/>
  </sheetData>
  <sheetProtection algorithmName="SHA-512" hashValue="elaaAyhOfU//vBgcYm6Luu8TcgNwmiZoJvZhdwdC4rmvB2qm6z3vtM0ndBBP4NlVNxq8f0HIXN1kABgq7He0pQ==" saltValue="4AZ1Ukp2OmFwjHLhgk6sYw==" spinCount="100000" sheet="1" objects="1" scenarios="1"/>
  <mergeCells count="11">
    <mergeCell ref="B1:F1"/>
    <mergeCell ref="B2:F2"/>
    <mergeCell ref="B3:F3"/>
    <mergeCell ref="A13:A15"/>
    <mergeCell ref="G7:I7"/>
    <mergeCell ref="J20:J21"/>
    <mergeCell ref="L17:S17"/>
    <mergeCell ref="G25:I25"/>
    <mergeCell ref="A29:I29"/>
    <mergeCell ref="G27:I27"/>
    <mergeCell ref="G23:I23"/>
  </mergeCells>
  <conditionalFormatting sqref="F36">
    <cfRule type="containsText" dxfId="105" priority="18" operator="containsText" text="WEITER">
      <formula>NOT(ISERROR(SEARCH("WEITER",F36)))</formula>
    </cfRule>
  </conditionalFormatting>
  <conditionalFormatting sqref="F32">
    <cfRule type="containsText" dxfId="104" priority="20" operator="containsText" text="WEITER">
      <formula>NOT(ISERROR(SEARCH("WEITER",F32)))</formula>
    </cfRule>
  </conditionalFormatting>
  <conditionalFormatting sqref="F34">
    <cfRule type="containsText" dxfId="103" priority="19" operator="containsText" text="WEITER">
      <formula>NOT(ISERROR(SEARCH("WEITER",F34)))</formula>
    </cfRule>
  </conditionalFormatting>
  <conditionalFormatting sqref="F38">
    <cfRule type="containsText" dxfId="102" priority="17" operator="containsText" text="WEITER">
      <formula>NOT(ISERROR(SEARCH("WEITER",F38)))</formula>
    </cfRule>
  </conditionalFormatting>
  <dataValidations count="2">
    <dataValidation type="list" allowBlank="1" showInputMessage="1" showErrorMessage="1" error="Bitte wählen Sie einen Wert aus dem Drop-Down-Menu / Sélectionnez une valeur dans le menu déroulant, s.v.p." sqref="G21">
      <formula1>$B$161:$B$163</formula1>
    </dataValidation>
    <dataValidation type="textLength" allowBlank="1" showInputMessage="1" showErrorMessage="1" error="Bitte verwenden Sie nicht mehr als 199 Zeichen / S.v.p. utilisez 199 caractères au maximum" sqref="A17 A19 A21">
      <formula1>0</formula1>
      <formula2>199</formula2>
    </dataValidation>
  </dataValidations>
  <hyperlinks>
    <hyperlink ref="G31" location="'102'!A1" display="'102'!A1"/>
    <hyperlink ref="G33" location="'2'!A1" display="'2'!A1"/>
    <hyperlink ref="G35" location="'3'!A1" display="'3'!A1"/>
    <hyperlink ref="G37" location="'4'!A1" display="'4'!A1"/>
    <hyperlink ref="G39" location="'5'!A1" display="'5'!A1"/>
    <hyperlink ref="C31" location="'11cCH'!A1" display="'11cCH'!A1"/>
  </hyperlinks>
  <pageMargins left="0.74803149606299213" right="0.74803149606299213" top="0.39370078740157483" bottom="0.19685039370078741" header="0.51181102362204722" footer="0.51181102362204722"/>
  <pageSetup paperSize="9" scale="88" orientation="landscape"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2E7E5D5F-BEB4-4648-BFD7-CF80EE80094E}">
            <xm:f>txt!$B$222</xm:f>
            <x14:dxf>
              <font>
                <u/>
                <color rgb="FF0000FF"/>
              </font>
              <fill>
                <patternFill patternType="solid">
                  <fgColor indexed="64"/>
                  <bgColor rgb="FFFFFF00"/>
                </patternFill>
              </fill>
            </x14:dxf>
          </x14:cfRule>
          <xm:sqref>G31:G39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Bitte wählen Sie einen Wert aus dem Drop-Down-Menu / Sélectionnez une valeur dans le menu déroulant, s.v.p.">
          <x14:formula1>
            <xm:f>txt!$B$162:$B$164</xm:f>
          </x14:formula1>
          <xm:sqref>G17</xm:sqref>
        </x14:dataValidation>
        <x14:dataValidation type="list" allowBlank="1" showInputMessage="1" showErrorMessage="1" error="Bitte wählen Sie einen Wert aus dem Drop-Down-Menu / Sélectionnez une valeur dans le menu déroulant, s.v.p.">
          <x14:formula1>
            <xm:f>txt!$B$162:$B$164</xm:f>
          </x14:formula1>
          <xm:sqref>G19</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5" tint="0.39997558519241921"/>
    <pageSetUpPr fitToPage="1"/>
  </sheetPr>
  <dimension ref="A1:P64"/>
  <sheetViews>
    <sheetView workbookViewId="0">
      <selection activeCell="A17" sqref="A17"/>
    </sheetView>
  </sheetViews>
  <sheetFormatPr baseColWidth="10" defaultColWidth="10.6640625" defaultRowHeight="12.75"/>
  <cols>
    <col min="1" max="1" width="50.6640625" style="50" customWidth="1"/>
    <col min="2" max="2" width="2.6640625" style="50" customWidth="1"/>
    <col min="3" max="3" width="9.6640625" style="50" customWidth="1"/>
    <col min="4" max="4" width="7.6640625" style="50" customWidth="1"/>
    <col min="5" max="6" width="8.6640625" style="50" customWidth="1"/>
    <col min="7" max="7" width="2.6640625" style="50" customWidth="1"/>
    <col min="8" max="11" width="8.6640625" style="50" customWidth="1"/>
    <col min="12" max="12" width="10.6640625" style="50" customWidth="1"/>
    <col min="13" max="16384" width="10.6640625" style="50"/>
  </cols>
  <sheetData>
    <row r="1" spans="1:16" ht="15" customHeight="1">
      <c r="C1" s="354" t="str">
        <f>txt!$B$42</f>
        <v>Preiserhebung</v>
      </c>
      <c r="D1" s="354"/>
      <c r="E1" s="354"/>
      <c r="F1" s="354"/>
      <c r="K1" s="51" t="str">
        <f>txt!$B$175</f>
        <v>Eidg. Departement des Innern</v>
      </c>
    </row>
    <row r="2" spans="1:16" ht="15" customHeight="1">
      <c r="C2" s="354" t="str">
        <f>txt!$B$43</f>
        <v>Produzentenpreisindex</v>
      </c>
      <c r="D2" s="354"/>
      <c r="E2" s="354"/>
      <c r="F2" s="354"/>
      <c r="K2" s="51" t="str">
        <f>txt!$B$176</f>
        <v>Bundesamt für Statistik BFS</v>
      </c>
    </row>
    <row r="3" spans="1:16" ht="15" customHeight="1">
      <c r="C3" s="355" t="str">
        <f>txt!$B$44</f>
        <v>Informatikdienstleistungen</v>
      </c>
      <c r="D3" s="355"/>
      <c r="E3" s="355"/>
      <c r="F3" s="355"/>
      <c r="K3" s="52" t="str">
        <f>txt!$B$177</f>
        <v>Abt. Wirtschaft, Sektion PREIS</v>
      </c>
    </row>
    <row r="4" spans="1:16" ht="13.5" customHeight="1">
      <c r="A4" s="63"/>
      <c r="B4" s="63"/>
      <c r="C4" s="63"/>
      <c r="D4" s="63"/>
      <c r="E4" s="63"/>
      <c r="F4" s="63"/>
      <c r="G4" s="63"/>
      <c r="H4" s="63"/>
      <c r="I4" s="63"/>
      <c r="J4" s="63"/>
      <c r="K4" s="63"/>
      <c r="L4" s="63"/>
    </row>
    <row r="5" spans="1:16" ht="13.5" customHeight="1">
      <c r="A5" s="63" t="str">
        <f>txt!B46</f>
        <v>PMS-Nr. 0</v>
      </c>
      <c r="B5" s="63"/>
      <c r="C5" s="63"/>
      <c r="D5" s="63"/>
      <c r="E5" s="63"/>
      <c r="F5" s="63"/>
      <c r="G5" s="63"/>
      <c r="H5" s="63"/>
      <c r="I5" s="63"/>
      <c r="J5" s="63"/>
      <c r="K5" s="51" t="str">
        <f>txt!B45</f>
        <v/>
      </c>
      <c r="L5" s="63"/>
    </row>
    <row r="6" spans="1:16" ht="13.5" customHeight="1">
      <c r="A6" s="63"/>
      <c r="B6" s="63"/>
      <c r="C6" s="63"/>
      <c r="D6" s="63"/>
      <c r="E6" s="63"/>
      <c r="F6" s="63"/>
      <c r="G6" s="63"/>
      <c r="H6" s="63"/>
      <c r="I6" s="63"/>
      <c r="J6" s="63"/>
      <c r="K6" s="63"/>
      <c r="L6" s="63"/>
    </row>
    <row r="7" spans="1:16" ht="13.5" customHeight="1">
      <c r="A7" s="63" t="str">
        <f>txt!B47&amp;": "&amp;txt!B49</f>
        <v>Geschäftsfeld: Programmierungstätigkeiten</v>
      </c>
      <c r="B7" s="63"/>
      <c r="C7" s="63"/>
      <c r="D7" s="63"/>
      <c r="E7" s="63"/>
      <c r="F7" s="63"/>
      <c r="G7" s="63"/>
      <c r="H7" s="349" t="str">
        <f>" "&amp;REPT("|",INT(Steuerung!AA4*107))</f>
        <v xml:space="preserve"> </v>
      </c>
      <c r="I7" s="350"/>
      <c r="J7" s="350"/>
      <c r="K7" s="351"/>
      <c r="L7" s="63"/>
    </row>
    <row r="8" spans="1:16" ht="13.5" customHeight="1">
      <c r="A8" s="63" t="str">
        <f>txt!B48&amp;": "&amp;txt!B55</f>
        <v>Dienstleistungstyp: Software nach Kundenwunsch</v>
      </c>
      <c r="B8" s="63"/>
      <c r="C8" s="63"/>
      <c r="D8" s="63"/>
      <c r="E8" s="63"/>
      <c r="F8" s="63"/>
      <c r="G8" s="63"/>
      <c r="H8" s="63"/>
      <c r="I8" s="63"/>
      <c r="J8" s="63"/>
      <c r="K8" s="65" t="str">
        <f>IF(AND(COUNTIF($A$17:$A$25,"")=9,COUNTIF($A$30:$A$38,"")=9),txt!B228,IF(AND(SUM($C$17:$C$25)&lt;&gt;1,SUM($C$30:$C$38)&lt;&gt;1),txt!B227,IF(AND(COUNTIF($D$17,"")=1,COUNTIF($D$30,"")=1),txt!B235,IF(AND(COUNTIF($E$17:$E$25,"")=9,COUNTIF($E$30:$E$38,"")=9),txt!B233,IF(AND(COUNTIF($F$17:$F$25,"")=9,COUNTIF($F$30:$F$38,"")=9),txt!B234,IF(AND(COUNTIF($H$17:$H$25,"")=9,COUNTIF($H$30:$H$38,"")=9),txt!B251,IF(AND(COUNTIF($I$17:$I$25,"")=9,COUNTIF($I$30:$I$38,"")=9),txt!B251,"")))))))</f>
        <v>Bitte überprüfen Sie die Zeitanteile</v>
      </c>
      <c r="L8" s="63"/>
    </row>
    <row r="9" spans="1:16" ht="13.5" customHeight="1"/>
    <row r="10" spans="1:16" ht="13.5" customHeight="1">
      <c r="A10" s="357" t="str">
        <f>txt!B126</f>
        <v>Wie hoch war der verrechnete Stundenansatz in Abhängigkeit der Qualifikationsstufen Ihrer Mitarbeiter?</v>
      </c>
      <c r="B10" s="357"/>
      <c r="C10" s="357"/>
      <c r="D10" s="357"/>
      <c r="E10" s="357"/>
      <c r="F10" s="357"/>
      <c r="G10" s="357"/>
      <c r="H10" s="357"/>
      <c r="I10" s="357"/>
      <c r="J10" s="85"/>
      <c r="K10" s="85"/>
      <c r="L10" s="85"/>
    </row>
    <row r="11" spans="1:16" s="80" customFormat="1" ht="13.5" customHeight="1">
      <c r="A11" s="340" t="str">
        <f>txt!B127</f>
        <v xml:space="preserve">Mit welchem Zeitanteil wurden die jeweiligen Qualifikationsstufen für die Leistungserstellung eingesetzt?  </v>
      </c>
      <c r="B11" s="340"/>
      <c r="C11" s="340"/>
      <c r="D11" s="340"/>
      <c r="E11" s="340"/>
      <c r="F11" s="340"/>
      <c r="G11" s="340"/>
      <c r="H11" s="340"/>
      <c r="I11" s="340"/>
      <c r="J11" s="116"/>
      <c r="K11" s="116"/>
      <c r="L11" s="116"/>
      <c r="P11" s="117"/>
    </row>
    <row r="12" spans="1:16" ht="13.5" customHeight="1"/>
    <row r="13" spans="1:16" ht="13.5" customHeight="1">
      <c r="A13" s="57" t="str">
        <f>txt!B140</f>
        <v>Definieren Sie je 3 bis 5 repräsentative Qualifikationsstufen:</v>
      </c>
      <c r="C13" s="57" t="str">
        <f>txt!B157</f>
        <v>Kunde in der Schweiz</v>
      </c>
      <c r="H13" s="57"/>
    </row>
    <row r="14" spans="1:16" ht="13.5" customHeight="1"/>
    <row r="15" spans="1:16" ht="13.5" customHeight="1">
      <c r="A15" s="69" t="str">
        <f>txt!B107&amp;"-"&amp;txt!B113</f>
        <v>Plan-Bereich</v>
      </c>
      <c r="B15" s="89"/>
      <c r="C15" s="118"/>
      <c r="D15" s="118"/>
      <c r="E15" s="118" t="str">
        <f>txt!B23</f>
        <v>März 2022</v>
      </c>
      <c r="F15" s="118" t="str">
        <f>txt!B24</f>
        <v>März 2021</v>
      </c>
      <c r="G15" s="119"/>
      <c r="H15" s="118" t="str">
        <f>E15</f>
        <v>März 2022</v>
      </c>
      <c r="I15" s="118" t="str">
        <f>F15</f>
        <v>März 2021</v>
      </c>
      <c r="J15" s="118"/>
      <c r="K15" s="118"/>
      <c r="L15" s="60"/>
    </row>
    <row r="16" spans="1:16" ht="27" customHeight="1">
      <c r="A16" s="69"/>
      <c r="B16" s="89"/>
      <c r="C16" s="118" t="str">
        <f>txt!B168</f>
        <v>Zeitanteil</v>
      </c>
      <c r="D16" s="118" t="str">
        <f>txt!B161</f>
        <v>Währung</v>
      </c>
      <c r="E16" s="118" t="str">
        <f>txt!B167</f>
        <v>Honorar/h</v>
      </c>
      <c r="F16" s="118" t="str">
        <f>txt!B167</f>
        <v>Honorar/h</v>
      </c>
      <c r="G16" s="119"/>
      <c r="H16" s="118" t="str">
        <f>txt!B94</f>
        <v>Rabatt</v>
      </c>
      <c r="I16" s="118" t="str">
        <f>txt!B94</f>
        <v>Rabatt</v>
      </c>
      <c r="J16" s="118"/>
      <c r="K16" s="118"/>
      <c r="L16" s="120"/>
    </row>
    <row r="17" spans="1:12" ht="13.5" customHeight="1">
      <c r="A17" s="281" t="s">
        <v>662</v>
      </c>
      <c r="B17" s="89"/>
      <c r="C17" s="266"/>
      <c r="D17" s="121" t="s">
        <v>159</v>
      </c>
      <c r="E17" s="283"/>
      <c r="F17" s="283"/>
      <c r="G17" s="68"/>
      <c r="H17" s="266"/>
      <c r="I17" s="266"/>
      <c r="J17" s="68"/>
      <c r="K17" s="120"/>
      <c r="L17" s="120"/>
    </row>
    <row r="18" spans="1:12" ht="7.5" customHeight="1">
      <c r="A18" s="60"/>
      <c r="B18" s="89"/>
      <c r="C18" s="120"/>
      <c r="D18" s="120"/>
      <c r="E18" s="122"/>
      <c r="F18" s="122"/>
      <c r="G18" s="68"/>
      <c r="H18" s="120"/>
      <c r="I18" s="120"/>
      <c r="J18" s="68"/>
      <c r="K18" s="120"/>
      <c r="L18" s="120"/>
    </row>
    <row r="19" spans="1:12" ht="13.5" customHeight="1">
      <c r="A19" s="281" t="s">
        <v>663</v>
      </c>
      <c r="B19" s="89"/>
      <c r="C19" s="266"/>
      <c r="D19" s="121" t="s">
        <v>159</v>
      </c>
      <c r="E19" s="283"/>
      <c r="F19" s="283"/>
      <c r="G19" s="68"/>
      <c r="H19" s="266"/>
      <c r="I19" s="266"/>
      <c r="J19" s="68"/>
      <c r="K19" s="120"/>
      <c r="L19" s="120"/>
    </row>
    <row r="20" spans="1:12" ht="7.5" customHeight="1">
      <c r="A20" s="60"/>
      <c r="B20" s="89"/>
      <c r="C20" s="120"/>
      <c r="D20" s="120"/>
      <c r="E20" s="122"/>
      <c r="F20" s="122"/>
      <c r="G20" s="68"/>
      <c r="H20" s="120"/>
      <c r="I20" s="120"/>
      <c r="J20" s="68"/>
      <c r="K20" s="120"/>
      <c r="L20" s="120"/>
    </row>
    <row r="21" spans="1:12" ht="13.5" customHeight="1">
      <c r="A21" s="281" t="s">
        <v>664</v>
      </c>
      <c r="B21" s="89"/>
      <c r="C21" s="266"/>
      <c r="D21" s="121" t="s">
        <v>159</v>
      </c>
      <c r="E21" s="283"/>
      <c r="F21" s="283"/>
      <c r="G21" s="68"/>
      <c r="H21" s="266"/>
      <c r="I21" s="266"/>
      <c r="J21" s="68"/>
      <c r="K21" s="120"/>
      <c r="L21" s="120"/>
    </row>
    <row r="22" spans="1:12" ht="7.5" customHeight="1">
      <c r="A22" s="60"/>
      <c r="B22" s="89"/>
      <c r="C22" s="120"/>
      <c r="D22" s="120"/>
      <c r="E22" s="122"/>
      <c r="F22" s="122"/>
      <c r="G22" s="68"/>
      <c r="H22" s="120"/>
      <c r="I22" s="120"/>
      <c r="J22" s="68"/>
      <c r="K22" s="120"/>
      <c r="L22" s="120"/>
    </row>
    <row r="23" spans="1:12" ht="13.5" customHeight="1">
      <c r="A23" s="281"/>
      <c r="B23" s="89"/>
      <c r="C23" s="266"/>
      <c r="D23" s="121" t="s">
        <v>159</v>
      </c>
      <c r="E23" s="283"/>
      <c r="F23" s="283"/>
      <c r="G23" s="68"/>
      <c r="H23" s="266"/>
      <c r="I23" s="266"/>
      <c r="J23" s="68"/>
      <c r="K23" s="120"/>
      <c r="L23" s="120"/>
    </row>
    <row r="24" spans="1:12" ht="7.5" customHeight="1">
      <c r="A24" s="60"/>
      <c r="B24" s="89"/>
      <c r="C24" s="120"/>
      <c r="D24" s="120"/>
      <c r="E24" s="122"/>
      <c r="F24" s="122"/>
      <c r="G24" s="68"/>
      <c r="H24" s="120"/>
      <c r="I24" s="120"/>
      <c r="J24" s="68"/>
      <c r="K24" s="120"/>
      <c r="L24" s="120"/>
    </row>
    <row r="25" spans="1:12" ht="13.5" customHeight="1">
      <c r="A25" s="281"/>
      <c r="B25" s="89"/>
      <c r="C25" s="266"/>
      <c r="D25" s="121" t="s">
        <v>159</v>
      </c>
      <c r="E25" s="283"/>
      <c r="F25" s="283"/>
      <c r="G25" s="68"/>
      <c r="H25" s="266"/>
      <c r="I25" s="266"/>
      <c r="J25" s="68"/>
      <c r="K25" s="120"/>
      <c r="L25" s="120"/>
    </row>
    <row r="26" spans="1:12" ht="13.5" customHeight="1">
      <c r="A26" s="69"/>
      <c r="B26" s="89"/>
      <c r="C26" s="356" t="str">
        <f>SUM(C17:C25)*100&amp;txt!$B$224</f>
        <v>0% von 100% zugeteilt</v>
      </c>
      <c r="D26" s="356"/>
      <c r="E26" s="120"/>
      <c r="F26" s="120"/>
      <c r="G26" s="68"/>
      <c r="H26" s="120"/>
      <c r="I26" s="120"/>
      <c r="J26" s="68"/>
      <c r="K26" s="120"/>
      <c r="L26" s="120"/>
    </row>
    <row r="27" spans="1:12" ht="13.5" customHeight="1">
      <c r="A27" s="69"/>
      <c r="B27" s="89"/>
      <c r="C27" s="120"/>
      <c r="D27" s="120"/>
      <c r="E27" s="120"/>
      <c r="F27" s="120"/>
      <c r="G27" s="68"/>
      <c r="H27" s="120"/>
      <c r="I27" s="120"/>
      <c r="J27" s="68"/>
      <c r="K27" s="120"/>
      <c r="L27" s="120"/>
    </row>
    <row r="28" spans="1:12" ht="13.5" customHeight="1">
      <c r="A28" s="69" t="str">
        <f>txt!B109&amp;"-"&amp;txt!B113</f>
        <v>Build-Bereich</v>
      </c>
      <c r="B28" s="89"/>
      <c r="C28" s="120"/>
      <c r="D28" s="120"/>
      <c r="E28" s="120"/>
      <c r="F28" s="120"/>
      <c r="G28" s="68"/>
      <c r="H28" s="120"/>
      <c r="I28" s="120"/>
      <c r="J28" s="68"/>
      <c r="K28" s="120"/>
      <c r="L28" s="120"/>
    </row>
    <row r="29" spans="1:12" ht="13.5" customHeight="1">
      <c r="A29" s="69"/>
      <c r="B29" s="89"/>
      <c r="C29" s="120"/>
      <c r="D29" s="120"/>
      <c r="E29" s="120"/>
      <c r="F29" s="120"/>
      <c r="G29" s="68"/>
      <c r="H29" s="118"/>
      <c r="I29" s="118"/>
      <c r="J29" s="68"/>
      <c r="K29" s="120"/>
      <c r="L29" s="120"/>
    </row>
    <row r="30" spans="1:12" ht="13.5" customHeight="1">
      <c r="A30" s="281" t="s">
        <v>662</v>
      </c>
      <c r="B30" s="89"/>
      <c r="C30" s="266"/>
      <c r="D30" s="121" t="s">
        <v>159</v>
      </c>
      <c r="E30" s="282"/>
      <c r="F30" s="282"/>
      <c r="G30" s="89"/>
      <c r="H30" s="266"/>
      <c r="I30" s="266"/>
      <c r="J30" s="89"/>
      <c r="K30" s="120"/>
      <c r="L30" s="120"/>
    </row>
    <row r="31" spans="1:12" ht="7.5" customHeight="1">
      <c r="A31" s="60"/>
      <c r="B31" s="89"/>
      <c r="C31" s="61"/>
      <c r="D31" s="120"/>
      <c r="E31" s="123"/>
      <c r="F31" s="123"/>
      <c r="G31" s="89"/>
      <c r="H31" s="120"/>
      <c r="I31" s="120"/>
      <c r="J31" s="89"/>
      <c r="K31" s="120"/>
      <c r="L31" s="120"/>
    </row>
    <row r="32" spans="1:12" ht="13.5" customHeight="1">
      <c r="A32" s="281" t="s">
        <v>663</v>
      </c>
      <c r="B32" s="89"/>
      <c r="C32" s="266"/>
      <c r="D32" s="121" t="s">
        <v>159</v>
      </c>
      <c r="E32" s="282"/>
      <c r="F32" s="282"/>
      <c r="G32" s="89"/>
      <c r="H32" s="266"/>
      <c r="I32" s="266"/>
      <c r="J32" s="89"/>
      <c r="K32" s="120"/>
      <c r="L32" s="120"/>
    </row>
    <row r="33" spans="1:12" ht="7.5" customHeight="1">
      <c r="A33" s="60"/>
      <c r="B33" s="89"/>
      <c r="C33" s="61"/>
      <c r="D33" s="120"/>
      <c r="E33" s="123"/>
      <c r="F33" s="123"/>
      <c r="G33" s="89"/>
      <c r="H33" s="120"/>
      <c r="I33" s="120"/>
      <c r="J33" s="89"/>
      <c r="K33" s="120"/>
      <c r="L33" s="120"/>
    </row>
    <row r="34" spans="1:12" ht="13.5" customHeight="1">
      <c r="A34" s="281" t="s">
        <v>664</v>
      </c>
      <c r="B34" s="89"/>
      <c r="C34" s="266"/>
      <c r="D34" s="121" t="s">
        <v>159</v>
      </c>
      <c r="E34" s="282"/>
      <c r="F34" s="282"/>
      <c r="G34" s="89"/>
      <c r="H34" s="266"/>
      <c r="I34" s="266"/>
      <c r="J34" s="89"/>
      <c r="K34" s="120"/>
      <c r="L34" s="120"/>
    </row>
    <row r="35" spans="1:12" ht="7.5" customHeight="1">
      <c r="A35" s="60"/>
      <c r="B35" s="89"/>
      <c r="C35" s="61"/>
      <c r="D35" s="120"/>
      <c r="E35" s="123"/>
      <c r="F35" s="123"/>
      <c r="G35" s="89"/>
      <c r="H35" s="120"/>
      <c r="I35" s="120"/>
      <c r="J35" s="89"/>
      <c r="K35" s="120"/>
      <c r="L35" s="120"/>
    </row>
    <row r="36" spans="1:12" ht="13.5" customHeight="1">
      <c r="A36" s="281"/>
      <c r="B36" s="89"/>
      <c r="C36" s="266"/>
      <c r="D36" s="121" t="s">
        <v>159</v>
      </c>
      <c r="E36" s="282"/>
      <c r="F36" s="282"/>
      <c r="G36" s="89"/>
      <c r="H36" s="266"/>
      <c r="I36" s="266"/>
      <c r="J36" s="89"/>
      <c r="K36" s="120"/>
      <c r="L36" s="120"/>
    </row>
    <row r="37" spans="1:12" ht="7.5" customHeight="1">
      <c r="A37" s="60"/>
      <c r="B37" s="89"/>
      <c r="C37" s="61"/>
      <c r="D37" s="120"/>
      <c r="E37" s="123"/>
      <c r="F37" s="123"/>
      <c r="G37" s="89"/>
      <c r="H37" s="120"/>
      <c r="I37" s="120"/>
      <c r="J37" s="89"/>
      <c r="K37" s="120"/>
      <c r="L37" s="120"/>
    </row>
    <row r="38" spans="1:12" ht="13.5" customHeight="1">
      <c r="A38" s="281"/>
      <c r="B38" s="89"/>
      <c r="C38" s="266"/>
      <c r="D38" s="121" t="s">
        <v>159</v>
      </c>
      <c r="E38" s="282"/>
      <c r="F38" s="282"/>
      <c r="G38" s="89"/>
      <c r="H38" s="266"/>
      <c r="I38" s="266"/>
      <c r="J38" s="89"/>
      <c r="K38" s="120"/>
      <c r="L38" s="120"/>
    </row>
    <row r="39" spans="1:12" ht="13.5" customHeight="1">
      <c r="A39" s="69"/>
      <c r="B39" s="89"/>
      <c r="C39" s="356" t="str">
        <f>SUM(C30:C38)*100&amp;txt!$B$224</f>
        <v>0% von 100% zugeteilt</v>
      </c>
      <c r="D39" s="356"/>
      <c r="E39" s="120"/>
      <c r="F39" s="120"/>
      <c r="G39" s="68"/>
      <c r="H39" s="120"/>
      <c r="I39" s="120"/>
      <c r="J39" s="68"/>
      <c r="K39" s="120"/>
      <c r="L39" s="120"/>
    </row>
    <row r="40" spans="1:12" ht="13.5" customHeight="1">
      <c r="A40" s="69"/>
      <c r="B40" s="89"/>
      <c r="C40" s="120"/>
      <c r="D40" s="120"/>
      <c r="E40" s="120"/>
      <c r="F40" s="120"/>
      <c r="G40" s="68"/>
      <c r="H40" s="120"/>
      <c r="I40" s="120"/>
      <c r="J40" s="68"/>
      <c r="K40" s="120"/>
      <c r="L40" s="120"/>
    </row>
    <row r="41" spans="1:12" s="131" customFormat="1" ht="13.5" customHeight="1">
      <c r="A41" s="125" t="str">
        <f>txt!B138&amp;": "&amp;txt!B139</f>
        <v>Beispiel: Projektleiter</v>
      </c>
      <c r="B41" s="126"/>
      <c r="C41" s="127">
        <v>0.28000000000000003</v>
      </c>
      <c r="D41" s="128" t="s">
        <v>159</v>
      </c>
      <c r="E41" s="129">
        <v>160</v>
      </c>
      <c r="F41" s="129">
        <v>160</v>
      </c>
      <c r="G41" s="130"/>
      <c r="H41" s="209">
        <v>0.08</v>
      </c>
      <c r="I41" s="209">
        <v>0.05</v>
      </c>
      <c r="J41" s="130"/>
      <c r="K41" s="120"/>
    </row>
    <row r="42" spans="1:12" ht="7.5" customHeight="1">
      <c r="A42" s="69"/>
      <c r="B42" s="89"/>
      <c r="C42" s="120"/>
      <c r="D42" s="120"/>
      <c r="E42" s="120"/>
      <c r="F42" s="120"/>
      <c r="G42" s="68"/>
      <c r="H42" s="120"/>
      <c r="I42" s="120"/>
      <c r="J42" s="120"/>
      <c r="K42" s="120"/>
      <c r="L42" s="120"/>
    </row>
    <row r="43" spans="1:12" ht="27" customHeight="1">
      <c r="A43" s="233" t="str">
        <f>txt!B108</f>
        <v>Mitarbeiter des 'Plan'-Bereichs sind zum Beispiel  ICT-Berater, ICT-Architekten, ICT-Qualitätsmanager.</v>
      </c>
      <c r="B43" s="89"/>
      <c r="C43" s="339" t="str">
        <f>txt!B159</f>
        <v>Defintion "Kunde in der Schweiz": Adresse des Leistungsbezügers im Inland.</v>
      </c>
      <c r="D43" s="339"/>
      <c r="E43" s="339"/>
      <c r="F43" s="339"/>
      <c r="G43" s="68"/>
      <c r="H43" s="358"/>
      <c r="I43" s="358"/>
      <c r="J43" s="358"/>
      <c r="K43" s="358"/>
      <c r="L43" s="120"/>
    </row>
    <row r="44" spans="1:12" ht="7.5" customHeight="1">
      <c r="A44" s="69"/>
      <c r="B44" s="69"/>
      <c r="C44" s="69"/>
      <c r="D44" s="69"/>
      <c r="E44" s="69"/>
      <c r="F44" s="69"/>
      <c r="G44" s="69"/>
      <c r="H44" s="69"/>
      <c r="I44" s="69"/>
      <c r="J44" s="69"/>
      <c r="K44" s="69"/>
      <c r="L44" s="69"/>
    </row>
    <row r="45" spans="1:12" ht="40.5" customHeight="1">
      <c r="A45" s="233" t="str">
        <f>txt!B110</f>
        <v>Mitarbeiter des 'Build'-Bereichs sind zum Beispiel Applikationsentwickler, Systemingenieure, Wirtschaftsinformatiker.</v>
      </c>
      <c r="B45" s="89"/>
      <c r="C45" s="339" t="str">
        <f>txt!B169</f>
        <v>Die Preise sind ohne Mehrwertsteuer anzugeben.</v>
      </c>
      <c r="D45" s="339"/>
      <c r="E45" s="339"/>
      <c r="F45" s="339"/>
      <c r="G45" s="68"/>
      <c r="H45" s="358"/>
      <c r="I45" s="358"/>
      <c r="J45" s="358"/>
      <c r="K45" s="358"/>
      <c r="L45" s="120"/>
    </row>
    <row r="46" spans="1:12" ht="7.5" customHeight="1">
      <c r="A46" s="69"/>
      <c r="B46" s="89"/>
      <c r="C46" s="120"/>
      <c r="D46" s="120"/>
      <c r="E46" s="120"/>
      <c r="F46" s="120"/>
      <c r="G46" s="68"/>
      <c r="H46" s="120"/>
      <c r="I46" s="120"/>
      <c r="J46" s="120"/>
      <c r="K46" s="120"/>
      <c r="L46" s="120"/>
    </row>
    <row r="47" spans="1:12" ht="67.5" customHeight="1">
      <c r="A47" s="233" t="str">
        <f>txt!B145&amp;":
"&amp;txt!B146</f>
        <v>Stundenansätze:
Die ausgewiesenen Preise sollen den durchschnittlichen (über alle Kunden) effektiv verrechneten Stundenansätzen entsprechen (Rabatte sind separat auszuweisen).</v>
      </c>
      <c r="B47" s="89"/>
      <c r="C47" s="339" t="str">
        <f>txt!B155</f>
        <v xml:space="preserve">Die Zeitanteile der angegebenen Qualifikationsstufen müssen sich zu 100% addieren. Gegebenenfalls nicht genannte Qualifikationsstufen sind bei den Zeitanteilen also nicht zu berücksichtigen.  </v>
      </c>
      <c r="D47" s="339"/>
      <c r="E47" s="339"/>
      <c r="F47" s="339"/>
      <c r="G47" s="68"/>
      <c r="L47" s="120"/>
    </row>
    <row r="48" spans="1:12" ht="13.5" customHeight="1">
      <c r="A48" s="69"/>
      <c r="B48" s="89"/>
      <c r="C48" s="120"/>
      <c r="D48" s="120"/>
      <c r="E48" s="120"/>
      <c r="F48" s="120"/>
      <c r="G48" s="68"/>
      <c r="H48" s="120"/>
      <c r="I48" s="120"/>
      <c r="J48" s="120"/>
      <c r="K48" s="120"/>
      <c r="L48" s="120"/>
    </row>
    <row r="49" spans="1:12" ht="13.5" customHeight="1">
      <c r="A49" s="69" t="str">
        <f>txt!B173&amp;":"</f>
        <v>Bemerkungen:</v>
      </c>
      <c r="B49" s="89"/>
      <c r="C49" s="120"/>
      <c r="D49" s="120"/>
      <c r="E49" s="120"/>
      <c r="F49" s="120"/>
      <c r="G49" s="68"/>
      <c r="H49" s="120"/>
      <c r="I49" s="120"/>
      <c r="J49" s="120"/>
      <c r="K49" s="120"/>
      <c r="L49" s="120"/>
    </row>
    <row r="50" spans="1:12" ht="54" customHeight="1">
      <c r="A50" s="344"/>
      <c r="B50" s="345"/>
      <c r="C50" s="345"/>
      <c r="D50" s="345"/>
      <c r="E50" s="345"/>
      <c r="F50" s="345"/>
      <c r="G50" s="345"/>
      <c r="H50" s="345"/>
      <c r="I50" s="345"/>
      <c r="J50" s="345"/>
      <c r="K50" s="346"/>
      <c r="L50" s="120"/>
    </row>
    <row r="51" spans="1:12" ht="13.5" customHeight="1">
      <c r="A51" s="80"/>
      <c r="B51" s="91"/>
      <c r="C51" s="91"/>
      <c r="D51" s="56"/>
      <c r="E51" s="56"/>
    </row>
    <row r="52" spans="1:12" ht="13.5" customHeight="1">
      <c r="A52" s="78">
        <f>Steuerung!E$6</f>
        <v>0</v>
      </c>
      <c r="C52" s="268" t="str">
        <f>txt!B221</f>
        <v>ZURÜCK</v>
      </c>
      <c r="H52" s="269" t="str">
        <f>IF(AND(COUNTIF($A$17:$A$25,"")=9,COUNTIF($A$30:$A$38,"")=9),"",IF(AND(SUM($C$17:$C$25)&lt;&gt;1,SUM($C$30:$C$38)&lt;&gt;1),"",IF(AND(COUNTIF($D$17,"")=1,COUNTIF($D$30,"")=1),"",IF(AND(COUNTIF($E$17:$E$25,"")=9,COUNTIF($E$30:$E$38,"")=9),"",IF(AND(COUNTIF($F$17:$F$25,"")=9,COUNTIF($F$30:$F$38,"")=9),"",IF(AND(COUNTIF($H$17:$H$25,"")=9,COUNTIF($H$30:$H$38,"")=9),"",IF(AND(COUNTIF($I$17:$I$25,"")=9,COUNTIF($I$30:$I$38,"")=9),"",IF(A52=1,txt!$B$222,""))))))))</f>
        <v/>
      </c>
    </row>
    <row r="53" spans="1:12" ht="13.5" customHeight="1">
      <c r="A53" s="78"/>
      <c r="C53" s="62"/>
      <c r="H53" s="62"/>
    </row>
    <row r="54" spans="1:12" ht="13.5" customHeight="1">
      <c r="A54" s="78">
        <f>Steuerung!H$6</f>
        <v>0</v>
      </c>
      <c r="H54" s="269" t="str">
        <f>IF(AND(COUNTIF($A$17:$A$25,"")=9,COUNTIF($A$30:$A$38,"")=9),"",IF(AND(SUM($C$17:$C$25)&lt;&gt;1,SUM($C$30:$C$38)&lt;&gt;1),"",IF(AND(COUNTIF($D$17,"")=1,COUNTIF($D$30,"")=1),"",IF(AND(COUNTIF($E$17:$E$25,"")=9,COUNTIF($E$30:$E$38,"")=9),"",IF(AND(COUNTIF($F$17:$F$25,"")=9,COUNTIF($F$30:$F$38,"")=9),"",IF(AND(COUNTIF($H$17:$H$25,"")=9,COUNTIF($H$30:$H$38,"")=9),"",IF(AND(COUNTIF($I$17:$I$25,"")=9,COUNTIF($I$30:$I$38,"")=9),"",IF(AND(A52=0,A54=1),txt!$B$222,""))))))))</f>
        <v/>
      </c>
    </row>
    <row r="55" spans="1:12" ht="13.5" customHeight="1">
      <c r="A55" s="78"/>
      <c r="H55" s="62"/>
    </row>
    <row r="56" spans="1:12" ht="13.5" customHeight="1">
      <c r="A56" s="78">
        <f>Steuerung!J$6</f>
        <v>0</v>
      </c>
      <c r="H56" s="269" t="str">
        <f>IF(AND(COUNTIF($A$17:$A$25,"")=9,COUNTIF($A$30:$A$38,"")=9),"",IF(AND(SUM($C$17:$C$25)&lt;&gt;1,SUM($C$30:$C$38)&lt;&gt;1),"",IF(AND(COUNTIF($D$17,"")=1,COUNTIF($D$30,"")=1),"",IF(AND(COUNTIF($E$17:$E$25,"")=9,COUNTIF($E$30:$E$38,"")=9),"",IF(AND(COUNTIF($F$17:$F$25,"")=9,COUNTIF($F$30:$F$38,"")=9),"",IF(AND(COUNTIF($H$17:$H$25,"")=9,COUNTIF($H$30:$H$38,"")=9),"",IF(AND(COUNTIF($I$17:$I$25,"")=9,COUNTIF($I$30:$I$38,"")=9),"",IF(AND(A52=0,A54=0,A56=1),txt!$B$222,""))))))))</f>
        <v/>
      </c>
    </row>
    <row r="57" spans="1:12" ht="13.5" customHeight="1">
      <c r="A57" s="78"/>
      <c r="H57" s="62"/>
    </row>
    <row r="58" spans="1:12" ht="13.5" customHeight="1">
      <c r="A58" s="78">
        <f>Steuerung!L$6</f>
        <v>0</v>
      </c>
      <c r="H58" s="269" t="str">
        <f>IF(AND(COUNTIF($A$17:$A$25,"")=9,COUNTIF($A$30:$A$38,"")=9),"",IF(AND(SUM($C$17:$C$25)&lt;&gt;1,SUM($C$30:$C$38)&lt;&gt;1),"",IF(AND(COUNTIF($D$17,"")=1,COUNTIF($D$30,"")=1),"",IF(AND(COUNTIF($E$17:$E$25,"")=9,COUNTIF($E$30:$E$38,"")=9),"",IF(AND(COUNTIF($F$17:$F$25,"")=9,COUNTIF($F$30:$F$38,"")=9),"",IF(AND(COUNTIF($H$17:$H$25,"")=9,COUNTIF($H$30:$H$38,"")=9),"",IF(AND(COUNTIF($I$17:$I$25,"")=9,COUNTIF($I$30:$I$38,"")=9),"",IF(AND(A52=0,A54=0,A56=0,A58=1),txt!$B$222,""))))))))</f>
        <v/>
      </c>
    </row>
    <row r="59" spans="1:12" ht="13.5" customHeight="1">
      <c r="A59" s="78"/>
      <c r="H59" s="62"/>
    </row>
    <row r="60" spans="1:12" ht="13.5" customHeight="1">
      <c r="A60" s="78">
        <f>Steuerung!N$6</f>
        <v>0</v>
      </c>
      <c r="H60" s="269" t="str">
        <f>IF(AND(COUNTIF($A$17:$A$25,"")=9,COUNTIF($A$30:$A$38,"")=9),"",IF(AND(SUM($C$17:$C$25)&lt;&gt;1,SUM($C$30:$C$38)&lt;&gt;1),"",IF(AND(COUNTIF($D$17,"")=1,COUNTIF($D$30,"")=1),"",IF(AND(COUNTIF($E$17:$E$25,"")=9,COUNTIF($E$30:$E$38,"")=9),"",IF(AND(COUNTIF($F$17:$F$25,"")=9,COUNTIF($F$30:$F$38,"")=9),"",IF(AND(COUNTIF($H$17:$H$25,"")=9,COUNTIF($H$30:$H$38,"")=9),"",IF(AND(COUNTIF($I$17:$I$25,"")=9,COUNTIF($I$30:$I$38,"")=9),"",IF(AND(A52=0,A54=0,A56=0,A58=0,A60=1),txt!$B$222,""))))))))</f>
        <v/>
      </c>
    </row>
    <row r="61" spans="1:12" ht="13.5" customHeight="1">
      <c r="A61" s="78"/>
    </row>
    <row r="62" spans="1:12">
      <c r="A62" s="78">
        <f>Steuerung!P$6</f>
        <v>1</v>
      </c>
      <c r="H62" s="269" t="str">
        <f>IF(AND(COUNTIF($A$17:$A$25,"")=9,COUNTIF($A$30:$A$38,"")=9),"",IF(AND(SUM($C$17:$C$25)&lt;&gt;1,SUM($C$30:$C$38)&lt;&gt;1),"",IF(AND(COUNTIF($D$17,"")=1,COUNTIF($D$30,"")=1),"",IF(AND(COUNTIF($E$17:$E$25,"")=9,COUNTIF($E$30:$E$38,"")=9),"",IF(AND(COUNTIF($F$17:$F$25,"")=9,COUNTIF($F$30:$F$38,"")=9),"",IF(AND(COUNTIF($H$17:$H$25,"")=9,COUNTIF($H$30:$H$38,"")=9),"",IF(AND(COUNTIF($I$17:$I$25,"")=9,COUNTIF($I$30:$I$38,"")=9),"",IF(AND(A52=0,A54=0,A56=0,A58=0,A60=0,A62=1),txt!$B$222,""))))))))</f>
        <v/>
      </c>
    </row>
    <row r="63" spans="1:12">
      <c r="A63" s="78"/>
    </row>
    <row r="64" spans="1:12">
      <c r="A64" s="80"/>
    </row>
  </sheetData>
  <sheetProtection algorithmName="SHA-512" hashValue="EHFkqllW1IeRy1otc4W+2gI6kLEY0+gcPLiwNIW4YYgVYVd/tViE9tE463XW6qvdVpqJCBxMl0LgYJuikX9AWQ==" saltValue="eWVAOhtJSFPYcUIGdOAAfg==" spinCount="100000" sheet="1" objects="1" scenarios="1"/>
  <mergeCells count="14">
    <mergeCell ref="C1:F1"/>
    <mergeCell ref="C2:F2"/>
    <mergeCell ref="C3:F3"/>
    <mergeCell ref="A50:K50"/>
    <mergeCell ref="C47:F47"/>
    <mergeCell ref="C26:D26"/>
    <mergeCell ref="C43:F43"/>
    <mergeCell ref="A10:I10"/>
    <mergeCell ref="A11:I11"/>
    <mergeCell ref="H43:K43"/>
    <mergeCell ref="H45:K45"/>
    <mergeCell ref="C39:D39"/>
    <mergeCell ref="C45:F45"/>
    <mergeCell ref="H7:K7"/>
  </mergeCells>
  <conditionalFormatting sqref="H12:K14 H43:K47 J15:K16 J42:K42">
    <cfRule type="expression" dxfId="100" priority="12">
      <formula>$A$51=1</formula>
    </cfRule>
  </conditionalFormatting>
  <conditionalFormatting sqref="H27:I28">
    <cfRule type="expression" dxfId="99" priority="2">
      <formula>$A$51=1</formula>
    </cfRule>
  </conditionalFormatting>
  <dataValidations count="4">
    <dataValidation type="decimal" allowBlank="1" showInputMessage="1" showErrorMessage="1" sqref="C17:C25 C30:C38 H39:I39">
      <formula1>0</formula1>
      <formula2>1</formula2>
    </dataValidation>
    <dataValidation type="decimal" allowBlank="1" showInputMessage="1" showErrorMessage="1" sqref="I37 I18 I20 I26:I29 I31 I33 I22 I24 I35 H18 H20 H22 H24 H37 H35 H33 H26:H29 H31">
      <formula1>0</formula1>
      <formula2>0.99</formula2>
    </dataValidation>
    <dataValidation type="decimal" allowBlank="1" showInputMessage="1" showErrorMessage="1" error="Bitte geben Sie einen Wert zwischen 0% und 99% ein / Entrez une valeur entre 0% et 99%, s.v.p." sqref="H17:I17 H19:I19 H21:I21 I23 H23 I25 H25 H30:I30 H32:I32 H34:I34 H36:I36 H38:I38">
      <formula1>0</formula1>
      <formula2>0.99</formula2>
    </dataValidation>
    <dataValidation type="textLength" allowBlank="1" showInputMessage="1" showErrorMessage="1" error="Bitte verwenden Sie nicht mehr als 199 Zeichen / S.v.p. utilisez 199 caractères au maximum" sqref="A17 A19 A21 A23 A25 A30 A32 A34 A36 A38">
      <formula1>0</formula1>
      <formula2>199</formula2>
    </dataValidation>
  </dataValidations>
  <hyperlinks>
    <hyperlink ref="C52" location="'101'!A1" display="'101'!A1"/>
    <hyperlink ref="H62" location="'5'!A1" display="'5'!A1"/>
    <hyperlink ref="H60" location="'4'!A1" display="'4'!A1"/>
    <hyperlink ref="H58" location="'3'!A1" display="'3'!A1"/>
    <hyperlink ref="H56" location="'2'!A1" display="'2'!A1"/>
    <hyperlink ref="H54" location="'102'!A1" display="'102'!A1"/>
    <hyperlink ref="H52" location="'11hEX'!A1" display="'11hEX'!A1"/>
  </hyperlinks>
  <pageMargins left="0.74803149606299213" right="0.74803149606299213" top="0.39370078740157483" bottom="0.19685039370078741" header="0.51181102362204722" footer="0.51181102362204722"/>
  <pageSetup paperSize="9" scale="73" orientation="landscape"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cellIs" priority="4" operator="equal" id="{B9BA2E68-911D-EC4E-961A-D8159A510341}">
            <xm:f>txt!$B$222</xm:f>
            <x14:dxf>
              <font>
                <u/>
                <color rgb="FF0000FF"/>
              </font>
              <fill>
                <patternFill patternType="solid">
                  <fgColor indexed="64"/>
                  <bgColor rgb="FFFFFF00"/>
                </patternFill>
              </fill>
            </x14:dxf>
          </x14:cfRule>
          <xm:sqref>H52:H60</xm:sqref>
        </x14:conditionalFormatting>
        <x14:conditionalFormatting xmlns:xm="http://schemas.microsoft.com/office/excel/2006/main">
          <x14:cfRule type="cellIs" priority="1" operator="equal" id="{0A82D787-0B3F-4E44-87BD-4C5D21B51C77}">
            <xm:f>txt!$B$222</xm:f>
            <x14:dxf>
              <font>
                <u/>
                <color rgb="FF0000FF"/>
              </font>
              <fill>
                <patternFill patternType="solid">
                  <fgColor indexed="64"/>
                  <bgColor rgb="FFFFFF00"/>
                </patternFill>
              </fill>
            </x14:dxf>
          </x14:cfRule>
          <xm:sqref>H62</xm:sqref>
        </x14:conditionalFormatting>
      </x14:conditionalFormatting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47</vt:i4>
      </vt:variant>
      <vt:variant>
        <vt:lpstr>Benannte Bereiche</vt:lpstr>
      </vt:variant>
      <vt:variant>
        <vt:i4>51</vt:i4>
      </vt:variant>
    </vt:vector>
  </HeadingPairs>
  <TitlesOfParts>
    <vt:vector size="98" baseType="lpstr">
      <vt:lpstr>Langue</vt:lpstr>
      <vt:lpstr>Intro</vt:lpstr>
      <vt:lpstr>Intro 2</vt:lpstr>
      <vt:lpstr>0</vt:lpstr>
      <vt:lpstr>1</vt:lpstr>
      <vt:lpstr>101</vt:lpstr>
      <vt:lpstr>11cCH</vt:lpstr>
      <vt:lpstr>11cEX</vt:lpstr>
      <vt:lpstr>11hCH</vt:lpstr>
      <vt:lpstr>11hEX</vt:lpstr>
      <vt:lpstr>102</vt:lpstr>
      <vt:lpstr>12l</vt:lpstr>
      <vt:lpstr>2</vt:lpstr>
      <vt:lpstr>201</vt:lpstr>
      <vt:lpstr>21hCH</vt:lpstr>
      <vt:lpstr>21hEX</vt:lpstr>
      <vt:lpstr>202</vt:lpstr>
      <vt:lpstr>22hCH</vt:lpstr>
      <vt:lpstr>22hEX</vt:lpstr>
      <vt:lpstr>203</vt:lpstr>
      <vt:lpstr>23i</vt:lpstr>
      <vt:lpstr>23hCH</vt:lpstr>
      <vt:lpstr>23hEX</vt:lpstr>
      <vt:lpstr>3</vt:lpstr>
      <vt:lpstr>30</vt:lpstr>
      <vt:lpstr>31cCH</vt:lpstr>
      <vt:lpstr>31cEX</vt:lpstr>
      <vt:lpstr>31hCH</vt:lpstr>
      <vt:lpstr>31hEX</vt:lpstr>
      <vt:lpstr>32t</vt:lpstr>
      <vt:lpstr>32hCH</vt:lpstr>
      <vt:lpstr>32hEX</vt:lpstr>
      <vt:lpstr>4</vt:lpstr>
      <vt:lpstr>40</vt:lpstr>
      <vt:lpstr>41t</vt:lpstr>
      <vt:lpstr>41uCH</vt:lpstr>
      <vt:lpstr>41uEX</vt:lpstr>
      <vt:lpstr>42t</vt:lpstr>
      <vt:lpstr>42uCH</vt:lpstr>
      <vt:lpstr>42uEX</vt:lpstr>
      <vt:lpstr>43t</vt:lpstr>
      <vt:lpstr>43uCH</vt:lpstr>
      <vt:lpstr>43uEX</vt:lpstr>
      <vt:lpstr>5</vt:lpstr>
      <vt:lpstr>Steuerung</vt:lpstr>
      <vt:lpstr>txt</vt:lpstr>
      <vt:lpstr>read</vt:lpstr>
      <vt:lpstr>Currency</vt:lpstr>
      <vt:lpstr>'0'!Druckbereich</vt:lpstr>
      <vt:lpstr>'1'!Druckbereich</vt:lpstr>
      <vt:lpstr>'101'!Druckbereich</vt:lpstr>
      <vt:lpstr>'102'!Druckbereich</vt:lpstr>
      <vt:lpstr>'11cCH'!Druckbereich</vt:lpstr>
      <vt:lpstr>'11cEX'!Druckbereich</vt:lpstr>
      <vt:lpstr>'11hCH'!Druckbereich</vt:lpstr>
      <vt:lpstr>'11hEX'!Druckbereich</vt:lpstr>
      <vt:lpstr>'12l'!Druckbereich</vt:lpstr>
      <vt:lpstr>'2'!Druckbereich</vt:lpstr>
      <vt:lpstr>'201'!Druckbereich</vt:lpstr>
      <vt:lpstr>'202'!Druckbereich</vt:lpstr>
      <vt:lpstr>'203'!Druckbereich</vt:lpstr>
      <vt:lpstr>'21hCH'!Druckbereich</vt:lpstr>
      <vt:lpstr>'21hEX'!Druckbereich</vt:lpstr>
      <vt:lpstr>'22hCH'!Druckbereich</vt:lpstr>
      <vt:lpstr>'22hEX'!Druckbereich</vt:lpstr>
      <vt:lpstr>'23hCH'!Druckbereich</vt:lpstr>
      <vt:lpstr>'23hEX'!Druckbereich</vt:lpstr>
      <vt:lpstr>'23i'!Druckbereich</vt:lpstr>
      <vt:lpstr>'3'!Druckbereich</vt:lpstr>
      <vt:lpstr>'30'!Druckbereich</vt:lpstr>
      <vt:lpstr>'31cCH'!Druckbereich</vt:lpstr>
      <vt:lpstr>'31cEX'!Druckbereich</vt:lpstr>
      <vt:lpstr>'31hCH'!Druckbereich</vt:lpstr>
      <vt:lpstr>'31hEX'!Druckbereich</vt:lpstr>
      <vt:lpstr>'32hCH'!Druckbereich</vt:lpstr>
      <vt:lpstr>'32hEX'!Druckbereich</vt:lpstr>
      <vt:lpstr>'32t'!Druckbereich</vt:lpstr>
      <vt:lpstr>'4'!Druckbereich</vt:lpstr>
      <vt:lpstr>'40'!Druckbereich</vt:lpstr>
      <vt:lpstr>'41t'!Druckbereich</vt:lpstr>
      <vt:lpstr>'41uCH'!Druckbereich</vt:lpstr>
      <vt:lpstr>'41uEX'!Druckbereich</vt:lpstr>
      <vt:lpstr>'42t'!Druckbereich</vt:lpstr>
      <vt:lpstr>'42uCH'!Druckbereich</vt:lpstr>
      <vt:lpstr>'42uEX'!Druckbereich</vt:lpstr>
      <vt:lpstr>'43t'!Druckbereich</vt:lpstr>
      <vt:lpstr>'43uCH'!Druckbereich</vt:lpstr>
      <vt:lpstr>'43uEX'!Druckbereich</vt:lpstr>
      <vt:lpstr>'5'!Druckbereich</vt:lpstr>
      <vt:lpstr>Intro!Druckbereich</vt:lpstr>
      <vt:lpstr>'Intro 2'!Druckbereich</vt:lpstr>
      <vt:lpstr>Langue!Druckbereich</vt:lpstr>
      <vt:lpstr>read!Druckbereich</vt:lpstr>
      <vt:lpstr>SBezeichnung</vt:lpstr>
      <vt:lpstr>SMengeVorjahr</vt:lpstr>
      <vt:lpstr>SPreisVorjahr</vt:lpstr>
      <vt:lpstr>SRabattVorjahr</vt:lpstr>
      <vt:lpstr>SWaehrung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Econlab;IWSB</dc:creator>
  <cp:lastModifiedBy>Fankhauser Andreas BFS</cp:lastModifiedBy>
  <cp:lastPrinted>2014-03-24T17:39:00Z</cp:lastPrinted>
  <dcterms:created xsi:type="dcterms:W3CDTF">2013-02-20T17:13:04Z</dcterms:created>
  <dcterms:modified xsi:type="dcterms:W3CDTF">2022-04-11T14:45:07Z</dcterms:modified>
</cp:coreProperties>
</file>