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20" yWindow="330" windowWidth="9810" windowHeight="11745" tabRatio="756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</sheets>
  <definedNames>
    <definedName name="_xlnm.Print_Area" localSheetId="16">'1999'!$A$1:$F$50</definedName>
    <definedName name="_xlnm.Print_Area" localSheetId="15">'2000'!$A$1:$F$48</definedName>
    <definedName name="_xlnm.Print_Area" localSheetId="14">'2001'!$A$1:$F$49</definedName>
    <definedName name="_xlnm.Print_Area" localSheetId="13">'2002'!$A$1:$F$49</definedName>
    <definedName name="_xlnm.Print_Area" localSheetId="12">'2003'!$A$1:$F$49</definedName>
    <definedName name="_xlnm.Print_Area" localSheetId="11">'2004'!$A$1:$F$50</definedName>
    <definedName name="_xlnm.Print_Area" localSheetId="10">'2005'!$A$1:$F$53</definedName>
    <definedName name="_xlnm.Print_Area" localSheetId="9">'2006'!$A$1:$F$54</definedName>
    <definedName name="_xlnm.Print_Area" localSheetId="8">'2007'!$A$1:$F$54</definedName>
    <definedName name="_xlnm.Print_Area" localSheetId="7">'2008'!$A$1:$F$55</definedName>
    <definedName name="_xlnm.Print_Area" localSheetId="6">'2009'!$A$1:$F$55</definedName>
    <definedName name="_xlnm.Print_Area" localSheetId="5">'2010'!$A$1:$F$55</definedName>
    <definedName name="_xlnm.Print_Area" localSheetId="4">'2011'!$A$1:$F$55</definedName>
    <definedName name="_xlnm.Print_Area" localSheetId="3">'2012'!$A$1:$F$55</definedName>
    <definedName name="_xlnm.Print_Area" localSheetId="2">'2013'!$A$1:$F$55</definedName>
    <definedName name="_xlnm.Print_Area" localSheetId="1">'2014'!$A$1:$F$56</definedName>
    <definedName name="_xlnm.Print_Area" localSheetId="0">'2015'!$A$1:$F$56</definedName>
  </definedNames>
  <calcPr fullCalcOnLoad="1"/>
</workbook>
</file>

<file path=xl/sharedStrings.xml><?xml version="1.0" encoding="utf-8"?>
<sst xmlns="http://schemas.openxmlformats.org/spreadsheetml/2006/main" count="883" uniqueCount="78">
  <si>
    <t>Total</t>
  </si>
  <si>
    <t>%</t>
  </si>
  <si>
    <t>Degré et type d'enseignement</t>
  </si>
  <si>
    <t>Doctorats</t>
  </si>
  <si>
    <t>Certificats de maturité professionnelle</t>
  </si>
  <si>
    <t>Diplômes des écoles supérieures de commerce</t>
  </si>
  <si>
    <t>Attestations de formation élémentaire</t>
  </si>
  <si>
    <t>Formation professionnelle supérieure</t>
  </si>
  <si>
    <t>Degré tertiaire (diplômes postgrades)</t>
  </si>
  <si>
    <t>Titres, diplômes</t>
  </si>
  <si>
    <t>Hommes</t>
  </si>
  <si>
    <t>Femmes</t>
  </si>
  <si>
    <t>Diplômes fédéraux</t>
  </si>
  <si>
    <t>Brevets fédéraux</t>
  </si>
  <si>
    <t>Diplômes des écoles supérieures</t>
  </si>
  <si>
    <t>Examens professionnels 
académiques</t>
  </si>
  <si>
    <t>Variation par</t>
  </si>
  <si>
    <t>rapport à l'année</t>
  </si>
  <si>
    <t>précédente</t>
  </si>
  <si>
    <t>Licences/diplômes des hautes 
écoles universitaires</t>
  </si>
  <si>
    <t>Diplômes postgrades de la formation 
professionnelle supérieure</t>
  </si>
  <si>
    <r>
      <t xml:space="preserve">Titres délivrés, </t>
    </r>
    <r>
      <rPr>
        <sz val="9"/>
        <rFont val="Arial"/>
        <family val="2"/>
      </rPr>
      <t>en 1999</t>
    </r>
  </si>
  <si>
    <t>Examens finaux des autres formations 
professionnelles supérieures</t>
  </si>
  <si>
    <t>Renseignements:</t>
  </si>
  <si>
    <r>
      <t xml:space="preserve">Titres délivrés, </t>
    </r>
    <r>
      <rPr>
        <sz val="9"/>
        <rFont val="Arial"/>
        <family val="2"/>
      </rPr>
      <t>en 2000</t>
    </r>
  </si>
  <si>
    <t>*</t>
  </si>
  <si>
    <r>
      <t xml:space="preserve">Titres délivrés, </t>
    </r>
    <r>
      <rPr>
        <sz val="9"/>
        <rFont val="Arial"/>
        <family val="2"/>
      </rPr>
      <t>en 2001</t>
    </r>
  </si>
  <si>
    <t>Diplômes des écoles supérieures (transition vers les hautes écoles spécialisées)</t>
  </si>
  <si>
    <r>
      <t xml:space="preserve">Titres délivrés, </t>
    </r>
    <r>
      <rPr>
        <sz val="9"/>
        <rFont val="Arial"/>
        <family val="2"/>
      </rPr>
      <t>en 2002</t>
    </r>
  </si>
  <si>
    <r>
      <t xml:space="preserve">Titres délivrés, </t>
    </r>
    <r>
      <rPr>
        <sz val="9"/>
        <rFont val="Arial"/>
        <family val="2"/>
      </rPr>
      <t>en 2003</t>
    </r>
  </si>
  <si>
    <t>Diplômes de Bachelor des hautes 
écoles universitaires</t>
  </si>
  <si>
    <t>Diplômes de Master des hautes 
écoles universitaires</t>
  </si>
  <si>
    <t>© OFS - Encyclopédie statistique de la Suisse</t>
  </si>
  <si>
    <r>
      <t xml:space="preserve">Titres délivrés, </t>
    </r>
    <r>
      <rPr>
        <sz val="9"/>
        <rFont val="Arial"/>
        <family val="2"/>
      </rPr>
      <t>en 2004</t>
    </r>
  </si>
  <si>
    <t>Examens finals des écoles de degré diplôme III</t>
  </si>
  <si>
    <t>Hautes écoles</t>
  </si>
  <si>
    <t>Diplômes de formation continue 
des hautes écoles spécialisées</t>
  </si>
  <si>
    <r>
      <t xml:space="preserve">Titres délivrés, </t>
    </r>
    <r>
      <rPr>
        <sz val="9"/>
        <rFont val="Arial"/>
        <family val="2"/>
      </rPr>
      <t>en 2005</t>
    </r>
  </si>
  <si>
    <t>Diplômes d'études approfondies 
ou spécialisées universitaires</t>
  </si>
  <si>
    <t>Examens finals universitaires 
non académiques</t>
  </si>
  <si>
    <t>Diplômes de formation continue 
universitaire</t>
  </si>
  <si>
    <t>Examens finals des écoles de culture générale</t>
  </si>
  <si>
    <t>Autres certificats de capacité</t>
  </si>
  <si>
    <r>
      <t xml:space="preserve">Titres délivrés, </t>
    </r>
    <r>
      <rPr>
        <sz val="9"/>
        <rFont val="Arial"/>
        <family val="2"/>
      </rPr>
      <t>en 2006</t>
    </r>
  </si>
  <si>
    <t>Certificats de maturité gymnasiale</t>
  </si>
  <si>
    <t>Certificats fédéraux de capacité CFC</t>
  </si>
  <si>
    <t>Attestations fédérales professionnelles AFP</t>
  </si>
  <si>
    <t xml:space="preserve"> </t>
  </si>
  <si>
    <r>
      <t xml:space="preserve">Titres délivrés, </t>
    </r>
    <r>
      <rPr>
        <sz val="9"/>
        <rFont val="Arial"/>
        <family val="2"/>
      </rPr>
      <t>en 2007</t>
    </r>
  </si>
  <si>
    <r>
      <t xml:space="preserve">Titres délivrés, </t>
    </r>
    <r>
      <rPr>
        <sz val="9"/>
        <rFont val="Arial"/>
        <family val="2"/>
      </rPr>
      <t>en 2008</t>
    </r>
  </si>
  <si>
    <r>
      <t xml:space="preserve">Titres délivrés, </t>
    </r>
    <r>
      <rPr>
        <sz val="9"/>
        <rFont val="Arial"/>
        <family val="2"/>
      </rPr>
      <t>en 2009</t>
    </r>
  </si>
  <si>
    <t>Certificats de maturité spécialisée</t>
  </si>
  <si>
    <t xml:space="preserve">Degré tertiaire (diplômes) </t>
  </si>
  <si>
    <t xml:space="preserve">Degré secondaire II </t>
  </si>
  <si>
    <r>
      <t xml:space="preserve">Titres délivrés, </t>
    </r>
    <r>
      <rPr>
        <sz val="9"/>
        <rFont val="Arial"/>
        <family val="2"/>
      </rPr>
      <t>en 2010</t>
    </r>
  </si>
  <si>
    <r>
      <t xml:space="preserve">Titres délivrés, </t>
    </r>
    <r>
      <rPr>
        <sz val="9"/>
        <rFont val="Arial"/>
        <family val="2"/>
      </rPr>
      <t>en 2011</t>
    </r>
  </si>
  <si>
    <r>
      <t xml:space="preserve">Titres délivrés, </t>
    </r>
    <r>
      <rPr>
        <sz val="9"/>
        <rFont val="Arial"/>
        <family val="2"/>
      </rPr>
      <t>en 2012</t>
    </r>
  </si>
  <si>
    <t>Certificats de la Passerelle maturité professionnelle - HEU</t>
  </si>
  <si>
    <t xml:space="preserve">    Baccalauréats internationaux</t>
  </si>
  <si>
    <t>Sources : OFS - Statistique des diplômes et des examens finals</t>
  </si>
  <si>
    <t>Degré secondaire II, formation professionnelle supérieure: Anton Rudin, 058 463 66 93, lernstat@bfs.admin.ch</t>
  </si>
  <si>
    <t>Hautes écoles: sius@bfs.admin.ch</t>
  </si>
  <si>
    <t>T 15.03.00.01</t>
  </si>
  <si>
    <r>
      <t xml:space="preserve">Titres délivrés, </t>
    </r>
    <r>
      <rPr>
        <sz val="9"/>
        <rFont val="Arial"/>
        <family val="2"/>
      </rPr>
      <t>en 2013</t>
    </r>
  </si>
  <si>
    <r>
      <t xml:space="preserve">Titres délivrés, </t>
    </r>
    <r>
      <rPr>
        <sz val="9"/>
        <rFont val="Arial"/>
        <family val="2"/>
      </rPr>
      <t>en 2014</t>
    </r>
  </si>
  <si>
    <r>
      <t xml:space="preserve">Titres délivrés, </t>
    </r>
    <r>
      <rPr>
        <sz val="9"/>
        <rFont val="Arial"/>
        <family val="2"/>
      </rPr>
      <t>en 2015</t>
    </r>
  </si>
  <si>
    <t>Diplômes des hautes écoles spécialisées / hautes écoles pédagogiques</t>
  </si>
  <si>
    <t>Diplômes de Bachelor des hautes 
écoles spécialisées/ hautes écoles pédagogiques</t>
  </si>
  <si>
    <t>Diplômes de Master des hautes 
écoles spécialisées / hautes écoles pédagogiques</t>
  </si>
  <si>
    <r>
      <t>Diplômes des écoles supérieures de commerce</t>
    </r>
    <r>
      <rPr>
        <vertAlign val="superscript"/>
        <sz val="8"/>
        <rFont val="Arial Narrow"/>
        <family val="2"/>
      </rPr>
      <t>1)</t>
    </r>
  </si>
  <si>
    <t xml:space="preserve">Diplômes postgrades des formations professionnelles supérieures non réglementées au niveau fédéral </t>
  </si>
  <si>
    <t>Etat de la banque de données: juin 2016</t>
  </si>
  <si>
    <t xml:space="preserve">Diplômes des hautes écoles spécialisées </t>
  </si>
  <si>
    <t>1) Jusqu'à 1999, écoles supérieures</t>
  </si>
  <si>
    <r>
      <t>Diplômes de formation continue 
des hautes écoles spécialisées</t>
    </r>
    <r>
      <rPr>
        <vertAlign val="superscript"/>
        <sz val="8"/>
        <rFont val="Arial Narrow"/>
        <family val="2"/>
      </rPr>
      <t>1)</t>
    </r>
  </si>
  <si>
    <t xml:space="preserve">   Autres formations générales</t>
  </si>
  <si>
    <t xml:space="preserve">1) Comparé aux années antérieures à 2014, de nombreux diplômes des écoles supérieures de commerce sont désormais comptabilisés avec les certificats fédéraux de capacité CFC. </t>
  </si>
  <si>
    <t>Etat de la banque de données: avril 2017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</si>
</sst>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##0"/>
    <numFmt numFmtId="179" formatCode="0.0"/>
    <numFmt numFmtId="180" formatCode="#######0;\-######0;\-;@"/>
    <numFmt numFmtId="181" formatCode="#,##0.0"/>
    <numFmt numFmtId="182" formatCode="#,###,##0__;\-#,###,##0__;0__;@__\ "/>
    <numFmt numFmtId="183" formatCode="#,###,##0.0__;\-#,###,##0.0__;\-__;@__\ "/>
    <numFmt numFmtId="184" formatCode="0.0%"/>
    <numFmt numFmtId="185" formatCode="\ 0;;;\ @"/>
  </numFmts>
  <fonts count="46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 indent="2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182" fontId="1" fillId="33" borderId="0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/>
    </xf>
    <xf numFmtId="182" fontId="1" fillId="34" borderId="17" xfId="0" applyNumberFormat="1" applyFont="1" applyFill="1" applyBorder="1" applyAlignment="1">
      <alignment/>
    </xf>
    <xf numFmtId="183" fontId="1" fillId="34" borderId="17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179" fontId="1" fillId="33" borderId="0" xfId="0" applyNumberFormat="1" applyFont="1" applyFill="1" applyBorder="1" applyAlignment="1">
      <alignment wrapText="1"/>
    </xf>
    <xf numFmtId="17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1"/>
    </xf>
    <xf numFmtId="182" fontId="1" fillId="33" borderId="0" xfId="0" applyNumberFormat="1" applyFont="1" applyFill="1" applyBorder="1" applyAlignment="1">
      <alignment wrapText="1"/>
    </xf>
    <xf numFmtId="18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vertical="top" wrapText="1"/>
    </xf>
    <xf numFmtId="182" fontId="1" fillId="0" borderId="0" xfId="0" applyNumberFormat="1" applyFont="1" applyAlignment="1">
      <alignment horizontal="right"/>
    </xf>
    <xf numFmtId="182" fontId="3" fillId="33" borderId="0" xfId="0" applyNumberFormat="1" applyFont="1" applyFill="1" applyBorder="1" applyAlignment="1">
      <alignment horizontal="right"/>
    </xf>
    <xf numFmtId="183" fontId="1" fillId="0" borderId="0" xfId="0" applyNumberFormat="1" applyFont="1" applyAlignment="1">
      <alignment horizontal="right"/>
    </xf>
    <xf numFmtId="183" fontId="3" fillId="33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/>
    </xf>
    <xf numFmtId="183" fontId="1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7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85" fontId="1" fillId="0" borderId="15" xfId="0" applyNumberFormat="1" applyFont="1" applyBorder="1" applyAlignment="1">
      <alignment horizontal="left"/>
    </xf>
    <xf numFmtId="182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179" fontId="1" fillId="35" borderId="0" xfId="0" applyNumberFormat="1" applyFont="1" applyFill="1" applyBorder="1" applyAlignment="1">
      <alignment/>
    </xf>
    <xf numFmtId="182" fontId="1" fillId="35" borderId="0" xfId="0" applyNumberFormat="1" applyFont="1" applyFill="1" applyBorder="1" applyAlignment="1">
      <alignment horizontal="right"/>
    </xf>
    <xf numFmtId="183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horizontal="right"/>
    </xf>
    <xf numFmtId="179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vertical="top"/>
    </xf>
    <xf numFmtId="182" fontId="1" fillId="35" borderId="0" xfId="0" applyNumberFormat="1" applyFont="1" applyFill="1" applyAlignment="1">
      <alignment horizontal="right"/>
    </xf>
    <xf numFmtId="183" fontId="1" fillId="35" borderId="0" xfId="0" applyNumberFormat="1" applyFont="1" applyFill="1" applyAlignment="1">
      <alignment horizontal="right"/>
    </xf>
    <xf numFmtId="183" fontId="1" fillId="35" borderId="0" xfId="0" applyNumberFormat="1" applyFont="1" applyFill="1" applyBorder="1" applyAlignment="1">
      <alignment horizontal="right"/>
    </xf>
    <xf numFmtId="182" fontId="3" fillId="35" borderId="0" xfId="0" applyNumberFormat="1" applyFont="1" applyFill="1" applyBorder="1" applyAlignment="1">
      <alignment horizontal="right"/>
    </xf>
    <xf numFmtId="183" fontId="3" fillId="35" borderId="0" xfId="0" applyNumberFormat="1" applyFont="1" applyFill="1" applyBorder="1" applyAlignment="1">
      <alignment/>
    </xf>
    <xf numFmtId="182" fontId="45" fillId="35" borderId="0" xfId="0" applyNumberFormat="1" applyFont="1" applyFill="1" applyBorder="1" applyAlignment="1">
      <alignment horizontal="right"/>
    </xf>
    <xf numFmtId="183" fontId="45" fillId="35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65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s="13" customFormat="1" ht="3.75" customHeight="1">
      <c r="B3" s="24"/>
      <c r="F3" s="24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2"/>
      <c r="F13" s="35"/>
    </row>
    <row r="14" spans="1:15" ht="12.75" customHeight="1">
      <c r="A14" s="3" t="s">
        <v>44</v>
      </c>
      <c r="B14" s="71">
        <v>18566</v>
      </c>
      <c r="C14" s="59">
        <v>7932</v>
      </c>
      <c r="D14" s="71">
        <v>10634</v>
      </c>
      <c r="E14" s="72">
        <v>57.27674243240332</v>
      </c>
      <c r="F14" s="72">
        <v>0.6942184618722251</v>
      </c>
      <c r="G14" s="60"/>
      <c r="H14" s="60"/>
      <c r="I14" s="60"/>
      <c r="J14" s="61"/>
      <c r="K14" s="61"/>
      <c r="L14" s="60"/>
      <c r="M14" s="60"/>
      <c r="N14" s="60"/>
      <c r="O14" s="60"/>
    </row>
    <row r="15" spans="1:15" ht="12.75" customHeight="1">
      <c r="A15" s="3" t="s">
        <v>4</v>
      </c>
      <c r="B15" s="62">
        <v>14023</v>
      </c>
      <c r="C15" s="62">
        <v>7507</v>
      </c>
      <c r="D15" s="62">
        <v>6516</v>
      </c>
      <c r="E15" s="72">
        <v>46.46651928973829</v>
      </c>
      <c r="F15" s="72">
        <v>-1.3992406131345803</v>
      </c>
      <c r="G15" s="63"/>
      <c r="H15" s="60"/>
      <c r="I15" s="60"/>
      <c r="J15" s="60"/>
      <c r="K15" s="60"/>
      <c r="L15" s="60"/>
      <c r="M15" s="60"/>
      <c r="N15" s="60"/>
      <c r="O15" s="60"/>
    </row>
    <row r="16" spans="1:15" ht="12.75" customHeight="1">
      <c r="A16" s="3" t="s">
        <v>51</v>
      </c>
      <c r="B16" s="62">
        <v>2526</v>
      </c>
      <c r="C16" s="62">
        <v>487</v>
      </c>
      <c r="D16" s="62">
        <v>2039</v>
      </c>
      <c r="E16" s="72">
        <v>80.72050673000791</v>
      </c>
      <c r="F16" s="72">
        <v>7.948717948717956</v>
      </c>
      <c r="G16" s="63"/>
      <c r="H16" s="60"/>
      <c r="I16" s="60"/>
      <c r="J16" s="60"/>
      <c r="K16" s="60"/>
      <c r="L16" s="60"/>
      <c r="M16" s="60"/>
      <c r="N16" s="60"/>
      <c r="O16" s="60"/>
    </row>
    <row r="17" spans="1:15" ht="12.75" customHeight="1">
      <c r="A17" s="3" t="s">
        <v>57</v>
      </c>
      <c r="B17" s="62">
        <v>773</v>
      </c>
      <c r="C17" s="62">
        <v>455</v>
      </c>
      <c r="D17" s="62">
        <v>318</v>
      </c>
      <c r="E17" s="72">
        <v>41.13842173350582</v>
      </c>
      <c r="F17" s="72">
        <v>2.792553191489361</v>
      </c>
      <c r="G17" s="63"/>
      <c r="H17" s="60"/>
      <c r="I17" s="60"/>
      <c r="J17" s="60"/>
      <c r="K17" s="60"/>
      <c r="L17" s="60"/>
      <c r="M17" s="60"/>
      <c r="N17" s="60"/>
      <c r="O17" s="60"/>
    </row>
    <row r="18" spans="1:15" ht="12.75" customHeight="1">
      <c r="A18" s="58" t="s">
        <v>58</v>
      </c>
      <c r="B18" s="62">
        <v>619</v>
      </c>
      <c r="C18" s="62">
        <v>328</v>
      </c>
      <c r="D18" s="62">
        <v>291</v>
      </c>
      <c r="E18" s="72">
        <v>47.011308562197094</v>
      </c>
      <c r="F18" s="72">
        <v>1.9769357495881366</v>
      </c>
      <c r="G18" s="63"/>
      <c r="H18" s="60"/>
      <c r="I18" s="60"/>
      <c r="J18" s="60"/>
      <c r="K18" s="60"/>
      <c r="L18" s="60"/>
      <c r="M18" s="60"/>
      <c r="N18" s="60"/>
      <c r="O18" s="60"/>
    </row>
    <row r="19" spans="1:15" ht="12.75" customHeight="1">
      <c r="A19" s="3" t="s">
        <v>45</v>
      </c>
      <c r="B19" s="62">
        <v>63338</v>
      </c>
      <c r="C19" s="62">
        <v>34320</v>
      </c>
      <c r="D19" s="62">
        <v>29018</v>
      </c>
      <c r="E19" s="72">
        <v>45.81451893018409</v>
      </c>
      <c r="F19" s="72">
        <v>3.6153644810888608</v>
      </c>
      <c r="G19" s="63"/>
      <c r="H19" s="60"/>
      <c r="I19" s="60"/>
      <c r="J19" s="60"/>
      <c r="K19" s="60"/>
      <c r="L19" s="60"/>
      <c r="M19" s="60"/>
      <c r="N19" s="60"/>
      <c r="O19" s="60"/>
    </row>
    <row r="20" spans="1:15" ht="12.75" customHeight="1">
      <c r="A20" s="3" t="s">
        <v>46</v>
      </c>
      <c r="B20" s="62">
        <v>5913</v>
      </c>
      <c r="C20" s="62">
        <v>3241</v>
      </c>
      <c r="D20" s="62">
        <v>2672</v>
      </c>
      <c r="E20" s="72">
        <v>45.18856756299678</v>
      </c>
      <c r="F20" s="72">
        <v>0.7325383304940374</v>
      </c>
      <c r="G20" s="63"/>
      <c r="H20" s="60"/>
      <c r="I20" s="60"/>
      <c r="J20" s="60"/>
      <c r="K20" s="60"/>
      <c r="L20" s="60"/>
      <c r="M20" s="60"/>
      <c r="N20" s="60"/>
      <c r="O20" s="60"/>
    </row>
    <row r="21" spans="1:15" s="6" customFormat="1" ht="12.75" customHeight="1">
      <c r="A21" s="3" t="s">
        <v>42</v>
      </c>
      <c r="B21" s="62">
        <v>95</v>
      </c>
      <c r="C21" s="62">
        <v>29</v>
      </c>
      <c r="D21" s="62">
        <v>66</v>
      </c>
      <c r="E21" s="72">
        <v>69.47368421052632</v>
      </c>
      <c r="F21" s="72">
        <v>-5</v>
      </c>
      <c r="G21" s="63"/>
      <c r="H21" s="64"/>
      <c r="I21" s="64"/>
      <c r="J21" s="64"/>
      <c r="K21" s="64"/>
      <c r="L21" s="64"/>
      <c r="M21" s="64"/>
      <c r="N21" s="64"/>
      <c r="O21" s="64"/>
    </row>
    <row r="22" spans="1:16" s="6" customFormat="1" ht="12.75" customHeight="1">
      <c r="A22" s="5" t="s">
        <v>69</v>
      </c>
      <c r="B22" s="62">
        <v>2</v>
      </c>
      <c r="C22" s="62">
        <v>0</v>
      </c>
      <c r="D22" s="62">
        <v>2</v>
      </c>
      <c r="E22" s="72">
        <v>100</v>
      </c>
      <c r="F22" s="72">
        <v>-98.88888888888889</v>
      </c>
      <c r="G22" s="63"/>
      <c r="H22" s="64"/>
      <c r="I22" s="60"/>
      <c r="J22" s="60"/>
      <c r="K22" s="60"/>
      <c r="L22" s="60"/>
      <c r="M22" s="60"/>
      <c r="N22" s="60"/>
      <c r="O22" s="60"/>
      <c r="P22" s="1"/>
    </row>
    <row r="23" spans="1:15" ht="12.75">
      <c r="A23" s="42" t="s">
        <v>41</v>
      </c>
      <c r="B23" s="62">
        <v>3845</v>
      </c>
      <c r="C23" s="62">
        <v>891</v>
      </c>
      <c r="D23" s="62">
        <v>2954</v>
      </c>
      <c r="E23" s="72">
        <v>76.82704811443432</v>
      </c>
      <c r="F23" s="72">
        <v>-0.4144004144004185</v>
      </c>
      <c r="G23" s="63"/>
      <c r="H23" s="60"/>
      <c r="I23" s="60"/>
      <c r="J23" s="60"/>
      <c r="K23" s="60"/>
      <c r="L23" s="60"/>
      <c r="M23" s="60"/>
      <c r="N23" s="60"/>
      <c r="O23" s="60"/>
    </row>
    <row r="24" spans="1:15" s="2" customFormat="1" ht="12.75" customHeight="1">
      <c r="A24" s="3" t="s">
        <v>6</v>
      </c>
      <c r="B24" s="62">
        <v>270</v>
      </c>
      <c r="C24" s="62">
        <v>222</v>
      </c>
      <c r="D24" s="62">
        <v>48</v>
      </c>
      <c r="E24" s="72">
        <v>17.77777777777778</v>
      </c>
      <c r="F24" s="72">
        <v>-27.807486631016047</v>
      </c>
      <c r="G24" s="63"/>
      <c r="H24" s="60"/>
      <c r="I24" s="60"/>
      <c r="J24" s="60"/>
      <c r="K24" s="60"/>
      <c r="L24" s="60"/>
      <c r="M24" s="65"/>
      <c r="N24" s="65"/>
      <c r="O24" s="65"/>
    </row>
    <row r="25" spans="1:15" ht="12.75" customHeight="1">
      <c r="A25" s="1" t="s">
        <v>52</v>
      </c>
      <c r="B25" s="62"/>
      <c r="C25" s="62"/>
      <c r="D25" s="62"/>
      <c r="E25" s="72"/>
      <c r="F25" s="72"/>
      <c r="G25" s="60"/>
      <c r="H25" s="60"/>
      <c r="I25" s="60"/>
      <c r="J25" s="60"/>
      <c r="K25" s="60"/>
      <c r="L25" s="60"/>
      <c r="M25" s="60"/>
      <c r="N25" s="60"/>
      <c r="O25" s="60"/>
    </row>
    <row r="26" spans="1:16" s="10" customFormat="1" ht="12.75" customHeight="1">
      <c r="A26" s="3" t="s">
        <v>7</v>
      </c>
      <c r="B26" s="62"/>
      <c r="C26" s="62"/>
      <c r="D26" s="62"/>
      <c r="E26" s="72"/>
      <c r="F26" s="72"/>
      <c r="G26" s="59"/>
      <c r="H26" s="60"/>
      <c r="I26" s="60"/>
      <c r="J26" s="60"/>
      <c r="K26" s="60"/>
      <c r="L26" s="60"/>
      <c r="M26" s="66"/>
      <c r="N26" s="66"/>
      <c r="O26" s="66"/>
      <c r="P26" s="8"/>
    </row>
    <row r="27" spans="1:15" s="8" customFormat="1" ht="12.75" customHeight="1">
      <c r="A27" s="7" t="s">
        <v>14</v>
      </c>
      <c r="B27" s="62">
        <v>8483</v>
      </c>
      <c r="C27" s="62">
        <v>4412</v>
      </c>
      <c r="D27" s="62">
        <v>4071</v>
      </c>
      <c r="E27" s="72">
        <f>(D27/B27)*100</f>
        <v>47.99009784274431</v>
      </c>
      <c r="F27" s="72">
        <f>(B27/8106)*100-100</f>
        <v>4.650875894399206</v>
      </c>
      <c r="G27" s="60"/>
      <c r="H27" s="44"/>
      <c r="I27" s="60"/>
      <c r="J27" s="60"/>
      <c r="K27" s="60"/>
      <c r="L27" s="60"/>
      <c r="M27" s="66"/>
      <c r="N27" s="66"/>
      <c r="O27" s="66"/>
    </row>
    <row r="28" spans="1:15" s="8" customFormat="1" ht="12.75" customHeight="1">
      <c r="A28" s="7" t="s">
        <v>12</v>
      </c>
      <c r="B28" s="62">
        <v>2707</v>
      </c>
      <c r="C28" s="62">
        <v>2039</v>
      </c>
      <c r="D28" s="62">
        <v>668</v>
      </c>
      <c r="E28" s="72">
        <f>(D28/B28)*100</f>
        <v>24.67676394532693</v>
      </c>
      <c r="F28" s="72">
        <f>(B28/2635)*100-100</f>
        <v>2.732447817836814</v>
      </c>
      <c r="G28" s="60"/>
      <c r="H28" s="44"/>
      <c r="I28" s="60"/>
      <c r="J28" s="60"/>
      <c r="K28" s="60"/>
      <c r="L28" s="60"/>
      <c r="M28" s="66"/>
      <c r="N28" s="66"/>
      <c r="O28" s="66"/>
    </row>
    <row r="29" spans="1:16" s="10" customFormat="1" ht="15.75" customHeight="1">
      <c r="A29" s="7" t="s">
        <v>13</v>
      </c>
      <c r="B29" s="62">
        <v>14835</v>
      </c>
      <c r="C29" s="62">
        <v>9178</v>
      </c>
      <c r="D29" s="62">
        <v>5657</v>
      </c>
      <c r="E29" s="72">
        <f>(D29/B29)*100</f>
        <v>38.13279406808224</v>
      </c>
      <c r="F29" s="72">
        <f>(B29/14537)*100-100</f>
        <v>2.0499415285134575</v>
      </c>
      <c r="G29" s="60"/>
      <c r="H29" s="44"/>
      <c r="I29" s="60"/>
      <c r="J29" s="60"/>
      <c r="K29" s="60"/>
      <c r="L29" s="60"/>
      <c r="M29" s="66"/>
      <c r="N29" s="66"/>
      <c r="O29" s="66"/>
      <c r="P29" s="8"/>
    </row>
    <row r="30" spans="1:15" ht="25.5">
      <c r="A30" s="41" t="s">
        <v>22</v>
      </c>
      <c r="B30" s="62">
        <v>472</v>
      </c>
      <c r="C30" s="62">
        <v>129</v>
      </c>
      <c r="D30" s="62">
        <v>343</v>
      </c>
      <c r="E30" s="72">
        <f>(D30/B30)*100</f>
        <v>72.66949152542372</v>
      </c>
      <c r="F30" s="72">
        <f>(B30/1776)*100-100</f>
        <v>-73.42342342342343</v>
      </c>
      <c r="G30" s="60"/>
      <c r="H30" s="44"/>
      <c r="I30" s="60"/>
      <c r="J30" s="60"/>
      <c r="K30" s="60"/>
      <c r="L30" s="60"/>
      <c r="M30" s="60"/>
      <c r="N30" s="60"/>
      <c r="O30" s="60"/>
    </row>
    <row r="31" spans="1:15" s="8" customFormat="1" ht="12.75" customHeight="1">
      <c r="A31" s="3" t="s">
        <v>35</v>
      </c>
      <c r="B31" s="74"/>
      <c r="C31" s="74"/>
      <c r="D31" s="74"/>
      <c r="E31" s="75"/>
      <c r="F31" s="72"/>
      <c r="G31" s="67"/>
      <c r="H31" s="44"/>
      <c r="I31" s="68"/>
      <c r="J31" s="68"/>
      <c r="K31" s="69"/>
      <c r="L31" s="69"/>
      <c r="M31" s="66"/>
      <c r="N31" s="66"/>
      <c r="O31" s="66"/>
    </row>
    <row r="32" spans="1:16" s="10" customFormat="1" ht="25.5">
      <c r="A32" s="78" t="s">
        <v>66</v>
      </c>
      <c r="B32" s="62">
        <v>1048</v>
      </c>
      <c r="C32" s="62">
        <v>499</v>
      </c>
      <c r="D32" s="62">
        <v>549</v>
      </c>
      <c r="E32" s="63">
        <v>52.4</v>
      </c>
      <c r="F32" s="63">
        <v>-4.117108874656907</v>
      </c>
      <c r="G32" s="67"/>
      <c r="H32" s="62"/>
      <c r="I32" s="62"/>
      <c r="J32" s="62"/>
      <c r="K32" s="77"/>
      <c r="L32" s="70"/>
      <c r="M32" s="70"/>
      <c r="N32" s="66"/>
      <c r="O32" s="66"/>
      <c r="P32" s="8"/>
    </row>
    <row r="33" spans="1:16" s="10" customFormat="1" ht="25.5">
      <c r="A33" s="9" t="s">
        <v>67</v>
      </c>
      <c r="B33" s="62">
        <v>15897</v>
      </c>
      <c r="C33" s="62">
        <v>7027</v>
      </c>
      <c r="D33" s="62">
        <v>8870</v>
      </c>
      <c r="E33" s="63">
        <v>55.8</v>
      </c>
      <c r="F33" s="63">
        <v>4.22895357985837</v>
      </c>
      <c r="G33" s="67"/>
      <c r="H33" s="62"/>
      <c r="I33" s="62"/>
      <c r="J33" s="62"/>
      <c r="K33" s="77"/>
      <c r="L33" s="70"/>
      <c r="M33" s="70"/>
      <c r="N33" s="66"/>
      <c r="O33" s="66"/>
      <c r="P33" s="8"/>
    </row>
    <row r="34" spans="1:16" s="10" customFormat="1" ht="25.5">
      <c r="A34" s="9" t="s">
        <v>68</v>
      </c>
      <c r="B34" s="62">
        <v>3831</v>
      </c>
      <c r="C34" s="62">
        <v>1744</v>
      </c>
      <c r="D34" s="62">
        <v>2087</v>
      </c>
      <c r="E34" s="63">
        <v>54.5</v>
      </c>
      <c r="F34" s="63">
        <v>9.052092228864225</v>
      </c>
      <c r="G34" s="67"/>
      <c r="H34" s="62"/>
      <c r="I34" s="62"/>
      <c r="J34" s="62"/>
      <c r="K34" s="77"/>
      <c r="L34" s="70"/>
      <c r="M34" s="70"/>
      <c r="N34" s="66"/>
      <c r="O34" s="66"/>
      <c r="P34" s="8"/>
    </row>
    <row r="35" spans="1:16" s="10" customFormat="1" ht="25.5">
      <c r="A35" s="9" t="s">
        <v>19</v>
      </c>
      <c r="B35" s="62">
        <v>495</v>
      </c>
      <c r="C35" s="62">
        <v>196</v>
      </c>
      <c r="D35" s="62">
        <v>299</v>
      </c>
      <c r="E35" s="63">
        <v>60.4</v>
      </c>
      <c r="F35" s="63">
        <v>55.17241379310346</v>
      </c>
      <c r="G35" s="67"/>
      <c r="H35" s="76"/>
      <c r="I35" s="76"/>
      <c r="J35" s="76"/>
      <c r="K35" s="77"/>
      <c r="L35" s="70"/>
      <c r="M35" s="70"/>
      <c r="N35" s="66"/>
      <c r="O35" s="66"/>
      <c r="P35" s="8"/>
    </row>
    <row r="36" spans="1:16" s="10" customFormat="1" ht="25.5">
      <c r="A36" s="9" t="s">
        <v>30</v>
      </c>
      <c r="B36" s="62">
        <v>14292</v>
      </c>
      <c r="C36" s="62">
        <v>6870</v>
      </c>
      <c r="D36" s="62">
        <v>7422</v>
      </c>
      <c r="E36" s="63">
        <v>51.9</v>
      </c>
      <c r="F36" s="63">
        <v>-0.4735376044568227</v>
      </c>
      <c r="G36" s="67"/>
      <c r="H36" s="76"/>
      <c r="I36" s="76"/>
      <c r="J36" s="76"/>
      <c r="K36" s="77"/>
      <c r="L36" s="70"/>
      <c r="M36" s="70"/>
      <c r="N36" s="66"/>
      <c r="O36" s="66"/>
      <c r="P36" s="8"/>
    </row>
    <row r="37" spans="1:16" s="10" customFormat="1" ht="24.75" customHeight="1">
      <c r="A37" s="9" t="s">
        <v>31</v>
      </c>
      <c r="B37" s="62">
        <v>13439</v>
      </c>
      <c r="C37" s="62">
        <v>6523</v>
      </c>
      <c r="D37" s="62">
        <v>6916</v>
      </c>
      <c r="E37" s="63">
        <v>51.5</v>
      </c>
      <c r="F37" s="63">
        <v>3.82416563658839</v>
      </c>
      <c r="G37" s="67"/>
      <c r="H37" s="76"/>
      <c r="I37" s="76"/>
      <c r="J37" s="76"/>
      <c r="K37" s="77"/>
      <c r="L37" s="70"/>
      <c r="M37" s="70"/>
      <c r="N37" s="66"/>
      <c r="O37" s="66"/>
      <c r="P37" s="8"/>
    </row>
    <row r="38" spans="1:16" s="10" customFormat="1" ht="24.75" customHeight="1">
      <c r="A38" s="9" t="s">
        <v>15</v>
      </c>
      <c r="B38" s="62">
        <v>2751</v>
      </c>
      <c r="C38" s="62">
        <v>1148</v>
      </c>
      <c r="D38" s="62">
        <v>1603</v>
      </c>
      <c r="E38" s="63">
        <v>58.3</v>
      </c>
      <c r="F38" s="63">
        <v>4.283548142532226</v>
      </c>
      <c r="G38" s="67"/>
      <c r="H38" s="76"/>
      <c r="I38" s="76"/>
      <c r="J38" s="76"/>
      <c r="K38" s="77"/>
      <c r="L38" s="70"/>
      <c r="M38" s="70"/>
      <c r="N38" s="66"/>
      <c r="O38" s="66"/>
      <c r="P38" s="8"/>
    </row>
    <row r="39" spans="1:15" s="2" customFormat="1" ht="24.75" customHeight="1">
      <c r="A39" s="9" t="s">
        <v>39</v>
      </c>
      <c r="B39" s="62">
        <v>56</v>
      </c>
      <c r="C39" s="62">
        <v>12</v>
      </c>
      <c r="D39" s="62">
        <v>44</v>
      </c>
      <c r="E39" s="63">
        <v>78.6</v>
      </c>
      <c r="F39" s="63">
        <v>14.285714285714278</v>
      </c>
      <c r="G39" s="67"/>
      <c r="H39" s="76"/>
      <c r="I39" s="76"/>
      <c r="J39" s="76"/>
      <c r="K39" s="77"/>
      <c r="L39" s="70"/>
      <c r="M39" s="70"/>
      <c r="N39" s="65"/>
      <c r="O39" s="65"/>
    </row>
    <row r="40" spans="1:16" s="6" customFormat="1" ht="12.75">
      <c r="A40" s="1" t="s">
        <v>8</v>
      </c>
      <c r="B40" s="62"/>
      <c r="C40" s="62"/>
      <c r="D40" s="62"/>
      <c r="E40" s="63"/>
      <c r="F40" s="63"/>
      <c r="G40" s="60"/>
      <c r="H40" s="62"/>
      <c r="I40" s="62"/>
      <c r="J40" s="62"/>
      <c r="K40" s="63"/>
      <c r="L40" s="69"/>
      <c r="M40" s="70"/>
      <c r="N40" s="60"/>
      <c r="O40" s="60"/>
      <c r="P40" s="1"/>
    </row>
    <row r="41" spans="1:16" s="6" customFormat="1" ht="24.75" customHeight="1">
      <c r="A41" s="5" t="s">
        <v>20</v>
      </c>
      <c r="B41" s="62">
        <v>1401</v>
      </c>
      <c r="C41" s="62">
        <v>748</v>
      </c>
      <c r="D41" s="62">
        <v>653</v>
      </c>
      <c r="E41" s="63">
        <f>(D41/B41)*100</f>
        <v>46.60956459671663</v>
      </c>
      <c r="F41" s="63">
        <f>(B41/1408)*100-100</f>
        <v>-0.4971590909090935</v>
      </c>
      <c r="G41" s="60"/>
      <c r="H41" s="62"/>
      <c r="I41" s="62"/>
      <c r="J41" s="62"/>
      <c r="K41" s="63"/>
      <c r="L41" s="69"/>
      <c r="M41" s="70"/>
      <c r="N41" s="60"/>
      <c r="O41" s="60"/>
      <c r="P41" s="1"/>
    </row>
    <row r="42" spans="1:16" s="6" customFormat="1" ht="24.75" customHeight="1">
      <c r="A42" s="5" t="s">
        <v>70</v>
      </c>
      <c r="B42" s="62">
        <v>44</v>
      </c>
      <c r="C42" s="62">
        <v>4</v>
      </c>
      <c r="D42" s="62">
        <v>40</v>
      </c>
      <c r="E42" s="63">
        <f>(D42/B42)*100</f>
        <v>90.9090909090909</v>
      </c>
      <c r="F42" s="63">
        <f>(B42/208)*100-100</f>
        <v>-78.84615384615384</v>
      </c>
      <c r="G42" s="60"/>
      <c r="H42" s="62"/>
      <c r="I42" s="62"/>
      <c r="J42" s="62"/>
      <c r="K42" s="63"/>
      <c r="L42" s="70"/>
      <c r="M42" s="70"/>
      <c r="N42" s="60"/>
      <c r="O42" s="60"/>
      <c r="P42" s="1"/>
    </row>
    <row r="43" spans="1:15" ht="25.5">
      <c r="A43" s="5" t="s">
        <v>36</v>
      </c>
      <c r="B43" s="62">
        <v>2569</v>
      </c>
      <c r="C43" s="62">
        <v>1602</v>
      </c>
      <c r="D43" s="62">
        <v>967</v>
      </c>
      <c r="E43" s="63">
        <v>37.6</v>
      </c>
      <c r="F43" s="63">
        <v>-4.604530263646495</v>
      </c>
      <c r="G43" s="67"/>
      <c r="H43" s="76"/>
      <c r="I43" s="76"/>
      <c r="J43" s="76"/>
      <c r="K43" s="77"/>
      <c r="L43" s="70"/>
      <c r="M43" s="70"/>
      <c r="N43" s="60"/>
      <c r="O43" s="60"/>
    </row>
    <row r="44" spans="1:15" ht="25.5">
      <c r="A44" s="5" t="s">
        <v>40</v>
      </c>
      <c r="B44" s="62">
        <v>1623</v>
      </c>
      <c r="C44" s="62">
        <v>800</v>
      </c>
      <c r="D44" s="62">
        <v>823</v>
      </c>
      <c r="E44" s="63">
        <v>50.7</v>
      </c>
      <c r="F44" s="63">
        <v>-10.529217199558985</v>
      </c>
      <c r="G44" s="67"/>
      <c r="H44" s="76"/>
      <c r="I44" s="76"/>
      <c r="J44" s="76"/>
      <c r="K44" s="77"/>
      <c r="L44" s="70"/>
      <c r="M44" s="70"/>
      <c r="N44" s="60"/>
      <c r="O44" s="60"/>
    </row>
    <row r="45" spans="1:15" ht="25.5">
      <c r="A45" s="5" t="s">
        <v>38</v>
      </c>
      <c r="B45" s="62">
        <v>56</v>
      </c>
      <c r="C45" s="62">
        <v>22</v>
      </c>
      <c r="D45" s="62">
        <v>34</v>
      </c>
      <c r="E45" s="63">
        <v>60.7</v>
      </c>
      <c r="F45" s="63">
        <v>-37.07865168539326</v>
      </c>
      <c r="G45" s="67"/>
      <c r="H45" s="76"/>
      <c r="I45" s="76"/>
      <c r="J45" s="76"/>
      <c r="K45" s="77"/>
      <c r="L45" s="70"/>
      <c r="M45" s="70"/>
      <c r="N45" s="60"/>
      <c r="O45" s="60"/>
    </row>
    <row r="46" spans="1:15" ht="12.75" customHeight="1">
      <c r="A46" s="1" t="s">
        <v>3</v>
      </c>
      <c r="B46" s="62">
        <v>3854</v>
      </c>
      <c r="C46" s="62">
        <v>2127</v>
      </c>
      <c r="D46" s="62">
        <v>1727</v>
      </c>
      <c r="E46" s="63">
        <v>44.8</v>
      </c>
      <c r="F46" s="63">
        <v>0.07790184367696895</v>
      </c>
      <c r="G46" s="67"/>
      <c r="H46" s="76"/>
      <c r="I46" s="76"/>
      <c r="J46" s="76"/>
      <c r="K46" s="77"/>
      <c r="L46" s="70"/>
      <c r="M46" s="70"/>
      <c r="N46" s="60"/>
      <c r="O46" s="60"/>
    </row>
    <row r="47" spans="1:15" ht="6" customHeight="1">
      <c r="A47" s="17"/>
      <c r="B47" s="17"/>
      <c r="C47" s="17"/>
      <c r="D47" s="17"/>
      <c r="E47" s="17"/>
      <c r="F47" s="17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2.75" customHeight="1">
      <c r="A48" s="79" t="s">
        <v>76</v>
      </c>
      <c r="B48" s="81"/>
      <c r="C48" s="79"/>
      <c r="D48" s="79"/>
      <c r="E48" s="82"/>
      <c r="F48" s="82"/>
      <c r="G48" s="79"/>
      <c r="H48" s="60"/>
      <c r="I48" s="60"/>
      <c r="J48" s="60"/>
      <c r="K48" s="60"/>
      <c r="L48" s="60"/>
      <c r="M48" s="60"/>
      <c r="N48" s="60"/>
      <c r="O48" s="60"/>
    </row>
    <row r="49" spans="1:7" s="79" customFormat="1" ht="12.75" customHeight="1">
      <c r="A49" s="31"/>
      <c r="B49" s="31"/>
      <c r="C49" s="31"/>
      <c r="D49" s="31"/>
      <c r="E49" s="31"/>
      <c r="F49" s="31"/>
      <c r="G49" s="31"/>
    </row>
    <row r="50" spans="1:15" ht="12.75" customHeight="1">
      <c r="A50" s="1" t="s">
        <v>77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ht="12.75" customHeight="1"/>
    <row r="52" spans="1:4" ht="12.75" customHeight="1">
      <c r="A52" s="11" t="s">
        <v>59</v>
      </c>
      <c r="D52" s="31"/>
    </row>
    <row r="53" spans="1:256" ht="12.75" customHeight="1">
      <c r="A53" s="36" t="s">
        <v>23</v>
      </c>
      <c r="D53" s="3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 customHeight="1">
      <c r="A54" s="36" t="s">
        <v>60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7" ht="12.75" customHeight="1">
      <c r="A55" s="36" t="s">
        <v>61</v>
      </c>
      <c r="B55" s="36"/>
      <c r="C55" s="36"/>
      <c r="D55" s="36"/>
      <c r="E55" s="36"/>
      <c r="F55" s="36"/>
      <c r="G55" s="36"/>
    </row>
    <row r="56" ht="12.75" customHeight="1">
      <c r="A56" s="37" t="s">
        <v>32</v>
      </c>
    </row>
  </sheetData>
  <sheetProtection/>
  <printOptions/>
  <pageMargins left="0.7086614173228347" right="0" top="0.7480314960629921" bottom="0" header="0.31496062992125984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43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31">
        <v>16852</v>
      </c>
      <c r="C14" s="31">
        <v>7182</v>
      </c>
      <c r="D14" s="31">
        <v>9670</v>
      </c>
      <c r="E14" s="32">
        <f aca="true" t="shared" si="0" ref="E14:E23">(D14/B14)*100</f>
        <v>57.381913126038455</v>
      </c>
      <c r="F14" s="35">
        <f>(B14/16411)*100-100</f>
        <v>2.6872219852537995</v>
      </c>
      <c r="J14" s="39"/>
      <c r="K14" s="39"/>
    </row>
    <row r="15" spans="1:6" ht="12.75" customHeight="1">
      <c r="A15" s="3" t="s">
        <v>4</v>
      </c>
      <c r="B15" s="44">
        <v>10621</v>
      </c>
      <c r="C15" s="44">
        <v>5938</v>
      </c>
      <c r="D15" s="44">
        <v>4683</v>
      </c>
      <c r="E15" s="32">
        <f t="shared" si="0"/>
        <v>44.0918934186988</v>
      </c>
      <c r="F15" s="35">
        <f>(B15/10719)*100-100</f>
        <v>-0.914264390334921</v>
      </c>
    </row>
    <row r="16" spans="1:6" ht="12.75" customHeight="1">
      <c r="A16" s="3" t="s">
        <v>57</v>
      </c>
      <c r="B16" s="44">
        <v>369</v>
      </c>
      <c r="C16" s="44">
        <v>237</v>
      </c>
      <c r="D16" s="44">
        <v>132</v>
      </c>
      <c r="E16" s="32">
        <f t="shared" si="0"/>
        <v>35.77235772357724</v>
      </c>
      <c r="F16" s="35">
        <f>(B16/148)*100-100</f>
        <v>149.32432432432435</v>
      </c>
    </row>
    <row r="17" spans="1:6" ht="12.75" customHeight="1">
      <c r="A17" s="58" t="s">
        <v>75</v>
      </c>
      <c r="B17" s="44">
        <v>214</v>
      </c>
      <c r="C17" s="44">
        <v>60</v>
      </c>
      <c r="D17" s="44">
        <v>154</v>
      </c>
      <c r="E17" s="32">
        <f t="shared" si="0"/>
        <v>71.96261682242991</v>
      </c>
      <c r="F17" s="35">
        <f>(B17/371)*100-100</f>
        <v>-42.31805929919138</v>
      </c>
    </row>
    <row r="18" spans="1:6" ht="12.75" customHeight="1">
      <c r="A18" s="3" t="s">
        <v>45</v>
      </c>
      <c r="B18" s="44">
        <v>51907</v>
      </c>
      <c r="C18" s="44">
        <v>29310</v>
      </c>
      <c r="D18" s="44">
        <v>22597</v>
      </c>
      <c r="E18" s="32">
        <f t="shared" si="0"/>
        <v>43.53362744909165</v>
      </c>
      <c r="F18" s="35">
        <f>(B18/52183)*100-100</f>
        <v>-0.5289078818772452</v>
      </c>
    </row>
    <row r="19" spans="1:6" s="6" customFormat="1" ht="12.75" customHeight="1">
      <c r="A19" s="3" t="s">
        <v>46</v>
      </c>
      <c r="B19" s="44">
        <v>99</v>
      </c>
      <c r="C19" s="44">
        <v>86</v>
      </c>
      <c r="D19" s="44">
        <v>13</v>
      </c>
      <c r="E19" s="32">
        <f t="shared" si="0"/>
        <v>13.131313131313133</v>
      </c>
      <c r="F19" s="35">
        <f>(B19/94)*100-100</f>
        <v>5.319148936170208</v>
      </c>
    </row>
    <row r="20" spans="1:6" s="6" customFormat="1" ht="12.75" customHeight="1">
      <c r="A20" s="3" t="s">
        <v>42</v>
      </c>
      <c r="B20" s="44">
        <v>2157</v>
      </c>
      <c r="C20" s="44">
        <v>380</v>
      </c>
      <c r="D20" s="44">
        <v>1777</v>
      </c>
      <c r="E20" s="32">
        <f t="shared" si="0"/>
        <v>82.38293926750116</v>
      </c>
      <c r="F20" s="35">
        <f>(B20/2145)*100-100</f>
        <v>0.5594405594405458</v>
      </c>
    </row>
    <row r="21" spans="1:6" ht="12.75">
      <c r="A21" s="5" t="s">
        <v>5</v>
      </c>
      <c r="B21" s="44">
        <v>2710</v>
      </c>
      <c r="C21" s="44">
        <v>1269</v>
      </c>
      <c r="D21" s="44">
        <v>1441</v>
      </c>
      <c r="E21" s="32">
        <f t="shared" si="0"/>
        <v>53.17343173431735</v>
      </c>
      <c r="F21" s="35">
        <f>(B21/2826)*100-100</f>
        <v>-4.10474168435951</v>
      </c>
    </row>
    <row r="22" spans="1:12" s="2" customFormat="1" ht="12.75" customHeight="1">
      <c r="A22" s="42" t="s">
        <v>41</v>
      </c>
      <c r="B22" s="44">
        <v>2824</v>
      </c>
      <c r="C22" s="44">
        <v>536</v>
      </c>
      <c r="D22" s="44">
        <v>2288</v>
      </c>
      <c r="E22" s="32">
        <f t="shared" si="0"/>
        <v>81.01983002832861</v>
      </c>
      <c r="F22" s="35">
        <f>(B22/2617)*100-100</f>
        <v>7.909820405043931</v>
      </c>
      <c r="G22" s="31"/>
      <c r="H22" s="1"/>
      <c r="I22" s="1"/>
      <c r="J22" s="1"/>
      <c r="K22" s="1"/>
      <c r="L22" s="1"/>
    </row>
    <row r="23" spans="1:6" ht="12.75" customHeight="1">
      <c r="A23" s="3" t="s">
        <v>6</v>
      </c>
      <c r="B23" s="44">
        <v>2598</v>
      </c>
      <c r="C23" s="44">
        <v>1759</v>
      </c>
      <c r="D23" s="44">
        <v>839</v>
      </c>
      <c r="E23" s="32">
        <f t="shared" si="0"/>
        <v>32.29407236335643</v>
      </c>
      <c r="F23" s="35">
        <f>(B23/2526)*100-100</f>
        <v>2.850356294536823</v>
      </c>
    </row>
    <row r="24" spans="1:12" s="10" customFormat="1" ht="12.75" customHeight="1">
      <c r="A24" s="1" t="s">
        <v>52</v>
      </c>
      <c r="B24" s="31"/>
      <c r="C24" s="31"/>
      <c r="D24" s="31"/>
      <c r="E24" s="32"/>
      <c r="F24" s="35"/>
      <c r="G24" s="43"/>
      <c r="H24" s="6"/>
      <c r="I24" s="6"/>
      <c r="J24" s="6"/>
      <c r="K24" s="6"/>
      <c r="L24" s="6"/>
    </row>
    <row r="25" spans="1:12" s="8" customFormat="1" ht="12.75" customHeight="1">
      <c r="A25" s="3" t="s">
        <v>7</v>
      </c>
      <c r="B25" s="44"/>
      <c r="C25" s="44"/>
      <c r="D25" s="44"/>
      <c r="E25" s="35"/>
      <c r="F25" s="35"/>
      <c r="G25" s="1"/>
      <c r="H25" s="1"/>
      <c r="I25" s="1"/>
      <c r="J25" s="1"/>
      <c r="K25" s="1"/>
      <c r="L25" s="1"/>
    </row>
    <row r="26" spans="1:12" s="8" customFormat="1" ht="12.75" customHeight="1">
      <c r="A26" s="7" t="s">
        <v>14</v>
      </c>
      <c r="B26" s="44">
        <v>3943</v>
      </c>
      <c r="C26" s="44">
        <v>2717</v>
      </c>
      <c r="D26" s="44">
        <v>1226</v>
      </c>
      <c r="E26" s="35">
        <f>(D26/B26)*100</f>
        <v>31.093076337813848</v>
      </c>
      <c r="F26" s="35">
        <f>(B26/3905)*100-100</f>
        <v>0.9731113956465975</v>
      </c>
      <c r="G26" s="1"/>
      <c r="H26" s="1"/>
      <c r="I26" s="1"/>
      <c r="J26" s="1"/>
      <c r="K26" s="1"/>
      <c r="L26" s="1"/>
    </row>
    <row r="27" spans="1:12" s="10" customFormat="1" ht="15.75" customHeight="1">
      <c r="A27" s="7" t="s">
        <v>12</v>
      </c>
      <c r="B27" s="44">
        <v>2919</v>
      </c>
      <c r="C27" s="44">
        <v>2346</v>
      </c>
      <c r="D27" s="44">
        <v>573</v>
      </c>
      <c r="E27" s="35">
        <f>(D27/B27)*100</f>
        <v>19.63001027749229</v>
      </c>
      <c r="F27" s="35">
        <f>(B27/2556)*100-100</f>
        <v>14.201877934272304</v>
      </c>
      <c r="G27" s="6"/>
      <c r="H27" s="6"/>
      <c r="I27" s="6"/>
      <c r="J27" s="6"/>
      <c r="K27" s="6"/>
      <c r="L27" s="6"/>
    </row>
    <row r="28" spans="1:6" ht="12.75">
      <c r="A28" s="7" t="s">
        <v>13</v>
      </c>
      <c r="B28" s="44">
        <v>13180</v>
      </c>
      <c r="C28" s="44">
        <v>9185</v>
      </c>
      <c r="D28" s="44">
        <v>3995</v>
      </c>
      <c r="E28" s="35">
        <f>(D28/B28)*100</f>
        <v>30.311077389984824</v>
      </c>
      <c r="F28" s="35">
        <f>(B28/12251)*100-100</f>
        <v>7.583054444535136</v>
      </c>
    </row>
    <row r="29" spans="1:12" s="8" customFormat="1" ht="12.75" customHeight="1">
      <c r="A29" s="41" t="s">
        <v>22</v>
      </c>
      <c r="B29" s="44">
        <v>8022</v>
      </c>
      <c r="C29" s="44">
        <v>2393</v>
      </c>
      <c r="D29" s="44">
        <v>5629</v>
      </c>
      <c r="E29" s="35">
        <f>(D29/B29)*100</f>
        <v>70.16953378209922</v>
      </c>
      <c r="F29" s="35">
        <f>(B29/9194)*100-100</f>
        <v>-12.747443985207738</v>
      </c>
      <c r="G29" s="56"/>
      <c r="H29" s="55"/>
      <c r="I29" s="55"/>
      <c r="J29" s="55"/>
      <c r="K29" s="54"/>
      <c r="L29" s="54"/>
    </row>
    <row r="30" spans="1:12" s="10" customFormat="1" ht="12.75">
      <c r="A30" s="3" t="s">
        <v>35</v>
      </c>
      <c r="B30" s="8"/>
      <c r="C30" s="8"/>
      <c r="D30" s="8"/>
      <c r="E30" s="8"/>
      <c r="F30" s="8"/>
      <c r="G30" s="56"/>
      <c r="H30" s="56"/>
      <c r="I30" s="57"/>
      <c r="J30" s="57"/>
      <c r="K30" s="57"/>
      <c r="L30" s="57"/>
    </row>
    <row r="31" spans="1:12" s="10" customFormat="1" ht="25.5">
      <c r="A31" s="78" t="s">
        <v>66</v>
      </c>
      <c r="B31" s="31">
        <v>8640</v>
      </c>
      <c r="C31" s="31">
        <v>5218</v>
      </c>
      <c r="D31" s="31">
        <v>3422</v>
      </c>
      <c r="E31" s="32">
        <v>39.6</v>
      </c>
      <c r="F31" s="35">
        <v>9.494232475598935</v>
      </c>
      <c r="G31" s="56"/>
      <c r="H31" s="56"/>
      <c r="I31" s="57"/>
      <c r="J31" s="57"/>
      <c r="K31" s="57"/>
      <c r="L31" s="57"/>
    </row>
    <row r="32" spans="1:12" s="10" customFormat="1" ht="24.75" customHeight="1">
      <c r="A32" s="9" t="s">
        <v>67</v>
      </c>
      <c r="B32" s="31">
        <v>1602</v>
      </c>
      <c r="C32" s="31">
        <v>190</v>
      </c>
      <c r="D32" s="31">
        <v>1412</v>
      </c>
      <c r="E32" s="32">
        <v>88.1</v>
      </c>
      <c r="F32" s="35" t="s">
        <v>25</v>
      </c>
      <c r="G32" s="56"/>
      <c r="H32" s="56"/>
      <c r="I32" s="57"/>
      <c r="J32" s="57"/>
      <c r="K32" s="57"/>
      <c r="L32" s="57"/>
    </row>
    <row r="33" spans="1:12" s="10" customFormat="1" ht="24.75" customHeight="1">
      <c r="A33" s="9" t="s">
        <v>68</v>
      </c>
      <c r="B33" s="31">
        <v>185</v>
      </c>
      <c r="C33" s="31">
        <v>31</v>
      </c>
      <c r="D33" s="31">
        <v>154</v>
      </c>
      <c r="E33" s="32">
        <v>83.2</v>
      </c>
      <c r="F33" s="35" t="s">
        <v>25</v>
      </c>
      <c r="G33" s="56"/>
      <c r="H33" s="57"/>
      <c r="I33" s="57"/>
      <c r="J33" s="57"/>
      <c r="K33" s="57"/>
      <c r="L33" s="57"/>
    </row>
    <row r="34" spans="1:12" s="10" customFormat="1" ht="24.75" customHeight="1">
      <c r="A34" s="9" t="s">
        <v>19</v>
      </c>
      <c r="B34" s="31">
        <v>7832</v>
      </c>
      <c r="C34" s="31">
        <v>3492</v>
      </c>
      <c r="D34" s="31">
        <v>4340</v>
      </c>
      <c r="E34" s="32">
        <v>55.4</v>
      </c>
      <c r="F34" s="35">
        <v>-14.74910199194514</v>
      </c>
      <c r="G34" s="56"/>
      <c r="H34" s="57"/>
      <c r="I34" s="57"/>
      <c r="J34" s="57"/>
      <c r="K34" s="57"/>
      <c r="L34" s="57"/>
    </row>
    <row r="35" spans="1:12" s="10" customFormat="1" ht="24.75" customHeight="1">
      <c r="A35" s="9" t="s">
        <v>30</v>
      </c>
      <c r="B35" s="31">
        <v>4987</v>
      </c>
      <c r="C35" s="31">
        <v>2775</v>
      </c>
      <c r="D35" s="31">
        <v>2212</v>
      </c>
      <c r="E35" s="32">
        <v>44.4</v>
      </c>
      <c r="F35" s="35">
        <v>70.43745727956254</v>
      </c>
      <c r="G35" s="56"/>
      <c r="H35" s="57"/>
      <c r="I35" s="57"/>
      <c r="J35" s="57"/>
      <c r="K35" s="57"/>
      <c r="L35" s="57"/>
    </row>
    <row r="36" spans="1:12" s="10" customFormat="1" ht="24.75" customHeight="1">
      <c r="A36" s="9" t="s">
        <v>31</v>
      </c>
      <c r="B36" s="31">
        <v>2267</v>
      </c>
      <c r="C36" s="31">
        <v>1372</v>
      </c>
      <c r="D36" s="31">
        <v>895</v>
      </c>
      <c r="E36" s="32">
        <v>39.5</v>
      </c>
      <c r="F36" s="35">
        <v>75.73643410852713</v>
      </c>
      <c r="G36" s="56"/>
      <c r="H36" s="57"/>
      <c r="I36" s="57"/>
      <c r="J36" s="57"/>
      <c r="K36" s="57"/>
      <c r="L36" s="57"/>
    </row>
    <row r="37" spans="1:12" s="2" customFormat="1" ht="24.75" customHeight="1">
      <c r="A37" s="9" t="s">
        <v>15</v>
      </c>
      <c r="B37" s="31">
        <v>1108</v>
      </c>
      <c r="C37" s="31">
        <v>572</v>
      </c>
      <c r="D37" s="31">
        <v>536</v>
      </c>
      <c r="E37" s="32">
        <v>48.4</v>
      </c>
      <c r="F37" s="35">
        <v>-18.82783882783883</v>
      </c>
      <c r="G37" s="56"/>
      <c r="H37" s="57"/>
      <c r="I37" s="57"/>
      <c r="J37" s="57"/>
      <c r="K37" s="57"/>
      <c r="L37" s="57"/>
    </row>
    <row r="38" spans="1:12" s="6" customFormat="1" ht="25.5">
      <c r="A38" s="9" t="s">
        <v>39</v>
      </c>
      <c r="B38" s="31">
        <v>451</v>
      </c>
      <c r="C38" s="31">
        <v>98</v>
      </c>
      <c r="D38" s="31">
        <v>353</v>
      </c>
      <c r="E38" s="32">
        <v>78.3</v>
      </c>
      <c r="F38" s="35">
        <v>-12.5968992248062</v>
      </c>
      <c r="G38" s="56"/>
      <c r="H38" s="55"/>
      <c r="I38" s="55"/>
      <c r="J38" s="55"/>
      <c r="K38" s="54"/>
      <c r="L38" s="54"/>
    </row>
    <row r="39" spans="1:12" s="6" customFormat="1" ht="24.75" customHeight="1">
      <c r="A39" s="1" t="s">
        <v>8</v>
      </c>
      <c r="B39" s="31"/>
      <c r="C39" s="31"/>
      <c r="D39" s="31"/>
      <c r="E39" s="32"/>
      <c r="F39" s="35"/>
      <c r="G39" s="56"/>
      <c r="H39" s="55"/>
      <c r="I39" s="55"/>
      <c r="J39" s="55"/>
      <c r="K39" s="54"/>
      <c r="L39" s="54"/>
    </row>
    <row r="40" spans="1:12" s="6" customFormat="1" ht="24.75" customHeight="1">
      <c r="A40" s="5" t="s">
        <v>20</v>
      </c>
      <c r="B40" s="44">
        <v>218</v>
      </c>
      <c r="C40" s="44">
        <v>191</v>
      </c>
      <c r="D40" s="44">
        <v>27</v>
      </c>
      <c r="E40" s="35">
        <f>(D40/B40)*100</f>
        <v>12.385321100917432</v>
      </c>
      <c r="F40" s="35">
        <f>(B40/258)*100-100</f>
        <v>-15.503875968992247</v>
      </c>
      <c r="G40" s="56"/>
      <c r="H40" s="56"/>
      <c r="I40" s="57"/>
      <c r="J40" s="57"/>
      <c r="K40" s="57"/>
      <c r="L40" s="57"/>
    </row>
    <row r="41" spans="1:12" ht="25.5">
      <c r="A41" s="5" t="s">
        <v>70</v>
      </c>
      <c r="B41" s="44">
        <v>889</v>
      </c>
      <c r="C41" s="44">
        <v>258</v>
      </c>
      <c r="D41" s="44">
        <v>631</v>
      </c>
      <c r="E41" s="35">
        <f>(D41/B41)*100</f>
        <v>70.97862767154106</v>
      </c>
      <c r="F41" s="35">
        <f>(B41/829)*100-100</f>
        <v>7.23763570566949</v>
      </c>
      <c r="G41" s="56"/>
      <c r="H41" s="57"/>
      <c r="I41" s="57"/>
      <c r="J41" s="57"/>
      <c r="K41" s="57"/>
      <c r="L41" s="57"/>
    </row>
    <row r="42" spans="1:12" ht="25.5">
      <c r="A42" s="5" t="s">
        <v>36</v>
      </c>
      <c r="B42" s="31">
        <v>2256</v>
      </c>
      <c r="C42" s="31">
        <v>1716</v>
      </c>
      <c r="D42" s="31">
        <v>540</v>
      </c>
      <c r="E42" s="32">
        <v>23.9</v>
      </c>
      <c r="F42" s="35">
        <v>-8.030982470444354</v>
      </c>
      <c r="G42" s="56"/>
      <c r="H42" s="57"/>
      <c r="I42" s="57"/>
      <c r="J42" s="57"/>
      <c r="K42" s="57"/>
      <c r="L42" s="57"/>
    </row>
    <row r="43" spans="1:12" ht="25.5">
      <c r="A43" s="5" t="s">
        <v>40</v>
      </c>
      <c r="B43" s="31">
        <v>1080</v>
      </c>
      <c r="C43" s="31">
        <v>754</v>
      </c>
      <c r="D43" s="31">
        <v>326</v>
      </c>
      <c r="E43" s="32">
        <v>30.2</v>
      </c>
      <c r="F43" s="35">
        <v>108.89748549323018</v>
      </c>
      <c r="G43" s="56"/>
      <c r="H43" s="57"/>
      <c r="I43" s="57"/>
      <c r="J43" s="57"/>
      <c r="K43" s="57"/>
      <c r="L43" s="57"/>
    </row>
    <row r="44" spans="1:12" ht="25.5">
      <c r="A44" s="5" t="s">
        <v>38</v>
      </c>
      <c r="B44" s="31">
        <v>1033</v>
      </c>
      <c r="C44" s="31">
        <v>444</v>
      </c>
      <c r="D44" s="31">
        <v>589</v>
      </c>
      <c r="E44" s="32">
        <v>57</v>
      </c>
      <c r="F44" s="35">
        <v>-12.085106382978724</v>
      </c>
      <c r="G44" s="56"/>
      <c r="H44" s="57"/>
      <c r="I44" s="57"/>
      <c r="J44" s="57"/>
      <c r="K44" s="57"/>
      <c r="L44" s="57"/>
    </row>
    <row r="45" spans="1:12" ht="12.75" customHeight="1">
      <c r="A45" s="1" t="s">
        <v>3</v>
      </c>
      <c r="B45" s="31">
        <v>3198</v>
      </c>
      <c r="C45" s="31">
        <v>1942</v>
      </c>
      <c r="D45" s="31">
        <v>1256</v>
      </c>
      <c r="E45" s="32">
        <v>39.3</v>
      </c>
      <c r="F45" s="35">
        <v>3.2</v>
      </c>
      <c r="H45" s="57"/>
      <c r="I45" s="57"/>
      <c r="J45" s="57"/>
      <c r="K45" s="57"/>
      <c r="L45" s="57"/>
    </row>
    <row r="46" spans="1:6" ht="3.75" customHeight="1">
      <c r="A46" s="17"/>
      <c r="B46" s="19"/>
      <c r="C46" s="17"/>
      <c r="D46" s="17"/>
      <c r="E46" s="17"/>
      <c r="F46" s="17"/>
    </row>
    <row r="48" ht="12.75" customHeight="1">
      <c r="A48" s="1" t="s">
        <v>71</v>
      </c>
    </row>
    <row r="50" spans="1:4" ht="12.75" customHeight="1">
      <c r="A50" s="11" t="s">
        <v>59</v>
      </c>
      <c r="D50" s="31"/>
    </row>
    <row r="51" spans="1:256" ht="12.75" customHeight="1">
      <c r="A51" s="36" t="s">
        <v>23</v>
      </c>
      <c r="D51" s="3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 customHeight="1">
      <c r="A52" s="36" t="s">
        <v>60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7" ht="12.75" customHeight="1">
      <c r="A53" s="36" t="s">
        <v>61</v>
      </c>
      <c r="B53" s="36"/>
      <c r="C53" s="36"/>
      <c r="D53" s="36"/>
      <c r="E53" s="36"/>
      <c r="F53" s="36"/>
      <c r="G53" s="36"/>
    </row>
    <row r="54" ht="12.75" customHeight="1">
      <c r="A54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37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31">
        <v>16411</v>
      </c>
      <c r="C14" s="31">
        <v>7089</v>
      </c>
      <c r="D14" s="31">
        <v>9322</v>
      </c>
      <c r="E14" s="32">
        <f aca="true" t="shared" si="0" ref="E14:E23">(D14/B14)*100</f>
        <v>56.80336359758699</v>
      </c>
      <c r="F14" s="35">
        <f>(B14/15924)*100-100</f>
        <v>3.0582768148706236</v>
      </c>
      <c r="J14" s="39"/>
      <c r="K14" s="39"/>
    </row>
    <row r="15" spans="1:6" ht="12.75" customHeight="1">
      <c r="A15" s="3" t="s">
        <v>4</v>
      </c>
      <c r="B15" s="31">
        <v>10719</v>
      </c>
      <c r="C15" s="31">
        <v>6005</v>
      </c>
      <c r="D15" s="31">
        <v>4714</v>
      </c>
      <c r="E15" s="32">
        <f t="shared" si="0"/>
        <v>43.97798302080418</v>
      </c>
      <c r="F15" s="35">
        <f>(B15/9703)*100-100</f>
        <v>10.470988354117281</v>
      </c>
    </row>
    <row r="16" spans="1:6" ht="12.75" customHeight="1">
      <c r="A16" s="3" t="s">
        <v>57</v>
      </c>
      <c r="B16" s="31">
        <v>148</v>
      </c>
      <c r="C16" s="31">
        <v>90</v>
      </c>
      <c r="D16" s="31">
        <v>58</v>
      </c>
      <c r="E16" s="32">
        <f t="shared" si="0"/>
        <v>39.189189189189186</v>
      </c>
      <c r="F16" s="35"/>
    </row>
    <row r="17" spans="1:6" ht="12.75" customHeight="1">
      <c r="A17" s="58" t="s">
        <v>75</v>
      </c>
      <c r="B17" s="31">
        <v>371</v>
      </c>
      <c r="C17" s="31">
        <v>66</v>
      </c>
      <c r="D17" s="31">
        <v>305</v>
      </c>
      <c r="E17" s="32">
        <f t="shared" si="0"/>
        <v>82.21024258760107</v>
      </c>
      <c r="F17" s="35">
        <f>(B17/263)*100-100</f>
        <v>41.06463878326997</v>
      </c>
    </row>
    <row r="18" spans="1:6" ht="12.75" customHeight="1">
      <c r="A18" s="3" t="s">
        <v>45</v>
      </c>
      <c r="B18" s="31">
        <v>52183</v>
      </c>
      <c r="C18" s="31">
        <v>29869</v>
      </c>
      <c r="D18" s="31">
        <v>22314</v>
      </c>
      <c r="E18" s="32">
        <f t="shared" si="0"/>
        <v>42.76105245003162</v>
      </c>
      <c r="F18" s="35">
        <f>(B18/52309)*100-100</f>
        <v>-0.24087633103290784</v>
      </c>
    </row>
    <row r="19" spans="1:6" s="6" customFormat="1" ht="12.75" customHeight="1">
      <c r="A19" s="3" t="s">
        <v>46</v>
      </c>
      <c r="B19" s="31">
        <v>94</v>
      </c>
      <c r="C19" s="31">
        <v>81</v>
      </c>
      <c r="D19" s="31">
        <v>13</v>
      </c>
      <c r="E19" s="32">
        <f t="shared" si="0"/>
        <v>13.829787234042554</v>
      </c>
      <c r="F19" s="35">
        <f>(B19/4)*100-100</f>
        <v>2250</v>
      </c>
    </row>
    <row r="20" spans="1:6" s="6" customFormat="1" ht="12.75" customHeight="1">
      <c r="A20" s="3" t="s">
        <v>42</v>
      </c>
      <c r="B20" s="31">
        <v>2145</v>
      </c>
      <c r="C20" s="31">
        <v>261</v>
      </c>
      <c r="D20" s="31">
        <v>1884</v>
      </c>
      <c r="E20" s="32">
        <f t="shared" si="0"/>
        <v>87.83216783216783</v>
      </c>
      <c r="F20" s="35">
        <f>(B20/6116)*100-100</f>
        <v>-64.92805755395683</v>
      </c>
    </row>
    <row r="21" spans="1:6" ht="12.75">
      <c r="A21" s="5" t="s">
        <v>5</v>
      </c>
      <c r="B21" s="31">
        <v>2826</v>
      </c>
      <c r="C21" s="31">
        <v>1221</v>
      </c>
      <c r="D21" s="31">
        <v>1605</v>
      </c>
      <c r="E21" s="32">
        <f t="shared" si="0"/>
        <v>56.79405520169851</v>
      </c>
      <c r="F21" s="35">
        <f>(B21/2844)*100-100</f>
        <v>-0.6329113924050631</v>
      </c>
    </row>
    <row r="22" spans="1:7" ht="12.75" customHeight="1">
      <c r="A22" s="42" t="s">
        <v>41</v>
      </c>
      <c r="B22" s="31">
        <v>2617</v>
      </c>
      <c r="C22" s="31">
        <v>421</v>
      </c>
      <c r="D22" s="31">
        <v>2196</v>
      </c>
      <c r="E22" s="32">
        <f t="shared" si="0"/>
        <v>83.91287734046618</v>
      </c>
      <c r="F22" s="35">
        <f>(B22/2071)*100-100</f>
        <v>26.364075325929505</v>
      </c>
      <c r="G22" s="31"/>
    </row>
    <row r="23" spans="1:6" ht="12.75" customHeight="1">
      <c r="A23" s="3" t="s">
        <v>6</v>
      </c>
      <c r="B23" s="31">
        <v>2526</v>
      </c>
      <c r="C23" s="31">
        <v>1719</v>
      </c>
      <c r="D23" s="31">
        <v>807</v>
      </c>
      <c r="E23" s="32">
        <f t="shared" si="0"/>
        <v>31.947743467933492</v>
      </c>
      <c r="F23" s="35">
        <f>(B23/2474)*100-100</f>
        <v>2.1018593371058927</v>
      </c>
    </row>
    <row r="24" spans="1:12" s="10" customFormat="1" ht="12.75" customHeight="1">
      <c r="A24" s="1" t="s">
        <v>52</v>
      </c>
      <c r="B24" s="31"/>
      <c r="C24" s="31"/>
      <c r="D24" s="31"/>
      <c r="E24" s="32"/>
      <c r="F24" s="35"/>
      <c r="G24" s="43"/>
      <c r="H24" s="6"/>
      <c r="I24" s="6"/>
      <c r="J24" s="6"/>
      <c r="K24" s="6"/>
      <c r="L24" s="6"/>
    </row>
    <row r="25" spans="1:12" s="8" customFormat="1" ht="12.75" customHeight="1">
      <c r="A25" s="3" t="s">
        <v>7</v>
      </c>
      <c r="B25" s="31"/>
      <c r="C25" s="31"/>
      <c r="D25" s="31"/>
      <c r="E25" s="32"/>
      <c r="F25" s="35"/>
      <c r="G25" s="1"/>
      <c r="H25" s="1"/>
      <c r="I25" s="1"/>
      <c r="J25" s="1"/>
      <c r="K25" s="1"/>
      <c r="L25" s="1"/>
    </row>
    <row r="26" spans="1:12" s="8" customFormat="1" ht="12.75" customHeight="1">
      <c r="A26" s="7" t="s">
        <v>14</v>
      </c>
      <c r="B26" s="31">
        <v>3905</v>
      </c>
      <c r="C26" s="31">
        <v>2775</v>
      </c>
      <c r="D26" s="31">
        <v>1130</v>
      </c>
      <c r="E26" s="32">
        <f>(D26/B26)*100</f>
        <v>28.937259923175418</v>
      </c>
      <c r="F26" s="35">
        <f>(B26/3915)*100-100</f>
        <v>-0.2554278416347415</v>
      </c>
      <c r="G26" s="1"/>
      <c r="H26" s="1"/>
      <c r="I26" s="1"/>
      <c r="J26" s="1"/>
      <c r="K26" s="1"/>
      <c r="L26" s="1"/>
    </row>
    <row r="27" spans="1:12" s="10" customFormat="1" ht="15.75" customHeight="1">
      <c r="A27" s="7" t="s">
        <v>12</v>
      </c>
      <c r="B27" s="31">
        <v>2556</v>
      </c>
      <c r="C27" s="31">
        <v>2106</v>
      </c>
      <c r="D27" s="31">
        <v>450</v>
      </c>
      <c r="E27" s="32">
        <f>(D27/B27)*100</f>
        <v>17.6056338028169</v>
      </c>
      <c r="F27" s="35">
        <f>(B27/3188)*100-100</f>
        <v>-19.824341279799256</v>
      </c>
      <c r="G27" s="6"/>
      <c r="H27" s="6"/>
      <c r="I27" s="6"/>
      <c r="J27" s="6"/>
      <c r="K27" s="6"/>
      <c r="L27" s="6"/>
    </row>
    <row r="28" spans="1:6" ht="12.75">
      <c r="A28" s="7" t="s">
        <v>13</v>
      </c>
      <c r="B28" s="31">
        <v>12251</v>
      </c>
      <c r="C28" s="31">
        <v>8229</v>
      </c>
      <c r="D28" s="31">
        <v>4022</v>
      </c>
      <c r="E28" s="32">
        <f>(D28/B28)*100</f>
        <v>32.829973063423395</v>
      </c>
      <c r="F28" s="35">
        <f>(B28/11375)*100-100</f>
        <v>7.701098901098888</v>
      </c>
    </row>
    <row r="29" spans="1:12" s="8" customFormat="1" ht="12.75" customHeight="1">
      <c r="A29" s="41" t="s">
        <v>22</v>
      </c>
      <c r="B29" s="31">
        <v>9194</v>
      </c>
      <c r="C29" s="31">
        <v>2875</v>
      </c>
      <c r="D29" s="31">
        <v>6319</v>
      </c>
      <c r="E29" s="32">
        <f>(D29/B29)*100</f>
        <v>68.72960626495541</v>
      </c>
      <c r="F29" s="35">
        <f>(B29/9060)*100-100</f>
        <v>1.4790286975717493</v>
      </c>
      <c r="G29" s="56"/>
      <c r="H29" s="55"/>
      <c r="I29" s="55"/>
      <c r="J29" s="55"/>
      <c r="K29" s="54"/>
      <c r="L29" s="54"/>
    </row>
    <row r="30" spans="1:12" s="10" customFormat="1" ht="12.75">
      <c r="A30" s="3" t="s">
        <v>35</v>
      </c>
      <c r="B30" s="8"/>
      <c r="C30" s="8"/>
      <c r="D30" s="8"/>
      <c r="E30" s="8"/>
      <c r="F30" s="8"/>
      <c r="G30" s="56"/>
      <c r="H30" s="55"/>
      <c r="I30" s="55"/>
      <c r="J30" s="55"/>
      <c r="K30" s="54"/>
      <c r="L30" s="54"/>
    </row>
    <row r="31" spans="1:12" s="10" customFormat="1" ht="24.75" customHeight="1">
      <c r="A31" s="78" t="s">
        <v>66</v>
      </c>
      <c r="B31" s="31">
        <v>7889</v>
      </c>
      <c r="C31" s="31">
        <v>4764</v>
      </c>
      <c r="D31" s="31">
        <v>3125</v>
      </c>
      <c r="E31" s="32">
        <v>39.6</v>
      </c>
      <c r="F31" s="35">
        <v>8.589125946317964</v>
      </c>
      <c r="G31" s="56"/>
      <c r="H31" s="55"/>
      <c r="I31" s="55"/>
      <c r="J31" s="55"/>
      <c r="K31" s="54"/>
      <c r="L31" s="54"/>
    </row>
    <row r="32" spans="1:12" s="10" customFormat="1" ht="24.75" customHeight="1">
      <c r="A32" s="9" t="s">
        <v>67</v>
      </c>
      <c r="B32" s="31">
        <v>684</v>
      </c>
      <c r="C32" s="31">
        <v>85</v>
      </c>
      <c r="D32" s="31">
        <v>599</v>
      </c>
      <c r="E32" s="32">
        <v>87.6</v>
      </c>
      <c r="F32" s="35" t="s">
        <v>25</v>
      </c>
      <c r="G32" s="56"/>
      <c r="H32" s="55"/>
      <c r="I32" s="55"/>
      <c r="J32" s="55"/>
      <c r="K32" s="54"/>
      <c r="L32" s="54"/>
    </row>
    <row r="33" spans="1:12" s="10" customFormat="1" ht="24.75" customHeight="1">
      <c r="A33" s="9" t="s">
        <v>19</v>
      </c>
      <c r="B33" s="31">
        <v>9187</v>
      </c>
      <c r="C33" s="31">
        <v>4509</v>
      </c>
      <c r="D33" s="31">
        <v>4678</v>
      </c>
      <c r="E33" s="32">
        <v>50.9</v>
      </c>
      <c r="F33" s="35">
        <v>-6.072998670892547</v>
      </c>
      <c r="G33" s="56"/>
      <c r="H33" s="55"/>
      <c r="I33" s="55"/>
      <c r="J33" s="55"/>
      <c r="K33" s="54"/>
      <c r="L33" s="54"/>
    </row>
    <row r="34" spans="1:12" s="10" customFormat="1" ht="24.75" customHeight="1">
      <c r="A34" s="9" t="s">
        <v>30</v>
      </c>
      <c r="B34" s="31">
        <v>2926</v>
      </c>
      <c r="C34" s="31">
        <v>1744</v>
      </c>
      <c r="D34" s="31">
        <v>1182</v>
      </c>
      <c r="E34" s="32">
        <v>40.4</v>
      </c>
      <c r="F34" s="35">
        <v>177.08333333333331</v>
      </c>
      <c r="G34" s="56"/>
      <c r="H34" s="55"/>
      <c r="I34" s="55"/>
      <c r="J34" s="55"/>
      <c r="K34" s="54"/>
      <c r="L34" s="54"/>
    </row>
    <row r="35" spans="1:12" ht="24.75" customHeight="1">
      <c r="A35" s="9" t="s">
        <v>31</v>
      </c>
      <c r="B35" s="31">
        <v>1290</v>
      </c>
      <c r="C35" s="31">
        <v>904</v>
      </c>
      <c r="D35" s="31">
        <v>386</v>
      </c>
      <c r="E35" s="32">
        <v>29.9</v>
      </c>
      <c r="F35" s="35" t="s">
        <v>25</v>
      </c>
      <c r="G35" s="56"/>
      <c r="H35" s="55"/>
      <c r="I35" s="55"/>
      <c r="J35" s="55"/>
      <c r="K35" s="54"/>
      <c r="L35" s="54"/>
    </row>
    <row r="36" spans="1:12" s="6" customFormat="1" ht="25.5">
      <c r="A36" s="9" t="s">
        <v>15</v>
      </c>
      <c r="B36" s="31">
        <v>1365</v>
      </c>
      <c r="C36" s="31">
        <v>735</v>
      </c>
      <c r="D36" s="31">
        <v>630</v>
      </c>
      <c r="E36" s="32">
        <v>46.2</v>
      </c>
      <c r="F36" s="35">
        <v>7.395751376868607</v>
      </c>
      <c r="G36" s="56"/>
      <c r="H36" s="55"/>
      <c r="I36" s="55"/>
      <c r="J36" s="55"/>
      <c r="K36" s="54"/>
      <c r="L36" s="54"/>
    </row>
    <row r="37" spans="1:12" s="6" customFormat="1" ht="24.75" customHeight="1">
      <c r="A37" s="9" t="s">
        <v>39</v>
      </c>
      <c r="B37" s="31">
        <v>516</v>
      </c>
      <c r="C37" s="31">
        <v>124</v>
      </c>
      <c r="D37" s="31">
        <v>392</v>
      </c>
      <c r="E37" s="32">
        <v>76</v>
      </c>
      <c r="F37" s="35">
        <v>-43.544857768052516</v>
      </c>
      <c r="G37" s="56"/>
      <c r="H37" s="55"/>
      <c r="I37" s="55"/>
      <c r="J37" s="55"/>
      <c r="K37" s="54"/>
      <c r="L37" s="54"/>
    </row>
    <row r="38" spans="1:12" s="6" customFormat="1" ht="24.75" customHeight="1">
      <c r="A38" s="1" t="s">
        <v>8</v>
      </c>
      <c r="B38" s="31"/>
      <c r="C38" s="31"/>
      <c r="D38" s="31"/>
      <c r="E38" s="32"/>
      <c r="F38" s="35"/>
      <c r="G38" s="56"/>
      <c r="H38" s="55"/>
      <c r="I38" s="55"/>
      <c r="J38" s="55"/>
      <c r="K38" s="54"/>
      <c r="L38" s="54"/>
    </row>
    <row r="39" spans="1:12" ht="25.5">
      <c r="A39" s="5" t="s">
        <v>20</v>
      </c>
      <c r="B39" s="31">
        <v>258</v>
      </c>
      <c r="C39" s="31">
        <v>227</v>
      </c>
      <c r="D39" s="31">
        <v>31</v>
      </c>
      <c r="E39" s="32">
        <f>(D39/B39)*100</f>
        <v>12.015503875968992</v>
      </c>
      <c r="F39" s="35">
        <f>(B39/269)*100-100</f>
        <v>-4.089219330855016</v>
      </c>
      <c r="G39" s="56"/>
      <c r="H39" s="55"/>
      <c r="I39" s="55"/>
      <c r="J39" s="55"/>
      <c r="K39" s="54"/>
      <c r="L39" s="54"/>
    </row>
    <row r="40" spans="1:12" ht="25.5">
      <c r="A40" s="5" t="s">
        <v>70</v>
      </c>
      <c r="B40" s="31">
        <v>829</v>
      </c>
      <c r="C40" s="31">
        <v>249</v>
      </c>
      <c r="D40" s="31">
        <v>580</v>
      </c>
      <c r="E40" s="32">
        <f>(D40/B40)*100</f>
        <v>69.96381182147165</v>
      </c>
      <c r="F40" s="35">
        <f>(B40/1068)*100-100</f>
        <v>-22.37827715355806</v>
      </c>
      <c r="G40" s="56"/>
      <c r="H40" s="55"/>
      <c r="I40" s="55"/>
      <c r="J40" s="55"/>
      <c r="K40" s="54"/>
      <c r="L40" s="54"/>
    </row>
    <row r="41" spans="1:12" ht="25.5">
      <c r="A41" s="5" t="s">
        <v>36</v>
      </c>
      <c r="B41" s="31">
        <v>2453</v>
      </c>
      <c r="C41" s="31">
        <v>1912</v>
      </c>
      <c r="D41" s="31">
        <v>541</v>
      </c>
      <c r="E41" s="32">
        <v>22.1</v>
      </c>
      <c r="F41" s="35">
        <v>3.8966539601863617</v>
      </c>
      <c r="G41" s="56"/>
      <c r="H41" s="55"/>
      <c r="I41" s="55"/>
      <c r="J41" s="55"/>
      <c r="K41" s="54"/>
      <c r="L41" s="54"/>
    </row>
    <row r="42" spans="1:12" ht="25.5">
      <c r="A42" s="5" t="s">
        <v>40</v>
      </c>
      <c r="B42" s="31">
        <v>517</v>
      </c>
      <c r="C42" s="31">
        <v>350</v>
      </c>
      <c r="D42" s="31">
        <v>167</v>
      </c>
      <c r="E42" s="32">
        <v>32.3</v>
      </c>
      <c r="F42" s="35" t="s">
        <v>25</v>
      </c>
      <c r="G42" s="56"/>
      <c r="H42" s="55"/>
      <c r="I42" s="55"/>
      <c r="J42" s="55"/>
      <c r="K42" s="54"/>
      <c r="L42" s="54"/>
    </row>
    <row r="43" spans="1:12" ht="25.5">
      <c r="A43" s="5" t="s">
        <v>38</v>
      </c>
      <c r="B43" s="31">
        <v>1175</v>
      </c>
      <c r="C43" s="31">
        <v>541</v>
      </c>
      <c r="D43" s="31">
        <v>634</v>
      </c>
      <c r="E43" s="32">
        <v>54</v>
      </c>
      <c r="F43" s="35" t="s">
        <v>25</v>
      </c>
      <c r="G43" s="56"/>
      <c r="H43" s="55"/>
      <c r="I43" s="55"/>
      <c r="J43" s="55"/>
      <c r="K43" s="54"/>
      <c r="L43" s="54"/>
    </row>
    <row r="44" spans="1:6" ht="12.75" customHeight="1">
      <c r="A44" s="1" t="s">
        <v>3</v>
      </c>
      <c r="B44" s="31">
        <v>3100</v>
      </c>
      <c r="C44" s="31">
        <v>1949</v>
      </c>
      <c r="D44" s="31">
        <v>1151</v>
      </c>
      <c r="E44" s="32">
        <v>37.1</v>
      </c>
      <c r="F44" s="35">
        <v>10.5</v>
      </c>
    </row>
    <row r="45" spans="1:6" ht="3.75" customHeight="1">
      <c r="A45" s="17"/>
      <c r="B45" s="19"/>
      <c r="C45" s="17"/>
      <c r="D45" s="17"/>
      <c r="E45" s="17"/>
      <c r="F45" s="17"/>
    </row>
    <row r="47" ht="12.75" customHeight="1">
      <c r="A47" s="1" t="s">
        <v>71</v>
      </c>
    </row>
    <row r="49" spans="1:4" ht="12.75" customHeight="1">
      <c r="A49" s="11" t="s">
        <v>59</v>
      </c>
      <c r="D49" s="31"/>
    </row>
    <row r="50" spans="1:256" ht="12.75" customHeight="1">
      <c r="A50" s="36" t="s">
        <v>23</v>
      </c>
      <c r="D50" s="3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 customHeight="1">
      <c r="A51" s="36" t="s">
        <v>60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7" ht="12.75" customHeight="1">
      <c r="A52" s="36" t="s">
        <v>61</v>
      </c>
      <c r="B52" s="36"/>
      <c r="C52" s="36"/>
      <c r="D52" s="36"/>
      <c r="E52" s="36"/>
      <c r="F52" s="36"/>
      <c r="G52" s="36"/>
    </row>
    <row r="53" ht="12.75" customHeight="1">
      <c r="A53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33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31">
        <v>15924</v>
      </c>
      <c r="C14" s="31">
        <v>6759</v>
      </c>
      <c r="D14" s="31">
        <v>9165</v>
      </c>
      <c r="E14" s="32">
        <f>(D14/B14)*100</f>
        <v>57.55463451394122</v>
      </c>
      <c r="F14" s="35">
        <f>(B14/16482)*100-100</f>
        <v>-3.385511467054968</v>
      </c>
      <c r="J14" s="39"/>
      <c r="K14" s="39"/>
    </row>
    <row r="15" spans="1:6" ht="12.75" customHeight="1">
      <c r="A15" s="3" t="s">
        <v>4</v>
      </c>
      <c r="B15" s="31">
        <v>9703</v>
      </c>
      <c r="C15" s="31">
        <v>5539</v>
      </c>
      <c r="D15" s="31">
        <v>4164</v>
      </c>
      <c r="E15" s="32">
        <f aca="true" t="shared" si="0" ref="E15:E28">(D15/B15)*100</f>
        <v>42.91456250644131</v>
      </c>
      <c r="F15" s="35">
        <f>(B15/9027)*100-100</f>
        <v>7.488645175584367</v>
      </c>
    </row>
    <row r="16" spans="1:6" ht="12.75" customHeight="1">
      <c r="A16" s="58" t="s">
        <v>75</v>
      </c>
      <c r="B16" s="31">
        <v>263</v>
      </c>
      <c r="C16" s="31">
        <v>33</v>
      </c>
      <c r="D16" s="31">
        <v>230</v>
      </c>
      <c r="E16" s="32">
        <f>(D16/B16)*100</f>
        <v>87.45247148288973</v>
      </c>
      <c r="F16" s="35">
        <f>(B16/302)*100-100</f>
        <v>-12.913907284768214</v>
      </c>
    </row>
    <row r="17" spans="1:6" ht="12.75" customHeight="1">
      <c r="A17" s="3" t="s">
        <v>45</v>
      </c>
      <c r="B17" s="31">
        <v>52309</v>
      </c>
      <c r="C17" s="31">
        <v>29273</v>
      </c>
      <c r="D17" s="31">
        <v>23036</v>
      </c>
      <c r="E17" s="32">
        <f t="shared" si="0"/>
        <v>44.03831080693571</v>
      </c>
      <c r="F17" s="35">
        <f>(B17/51780)*100-100</f>
        <v>1.021629972962529</v>
      </c>
    </row>
    <row r="18" spans="1:6" s="6" customFormat="1" ht="12.75" customHeight="1">
      <c r="A18" s="3" t="s">
        <v>46</v>
      </c>
      <c r="B18" s="31">
        <v>4</v>
      </c>
      <c r="C18" s="31">
        <v>4</v>
      </c>
      <c r="D18" s="31">
        <v>0</v>
      </c>
      <c r="E18" s="32">
        <f t="shared" si="0"/>
        <v>0</v>
      </c>
      <c r="F18" s="35"/>
    </row>
    <row r="19" spans="1:6" s="6" customFormat="1" ht="12.75" customHeight="1">
      <c r="A19" s="3" t="s">
        <v>42</v>
      </c>
      <c r="B19" s="31">
        <v>6116</v>
      </c>
      <c r="C19" s="31">
        <v>712</v>
      </c>
      <c r="D19" s="31">
        <v>5404</v>
      </c>
      <c r="E19" s="32">
        <f t="shared" si="0"/>
        <v>88.35840418574232</v>
      </c>
      <c r="F19" s="35">
        <f>(B19/6107)*100-100</f>
        <v>0.14737186834778981</v>
      </c>
    </row>
    <row r="20" spans="1:6" ht="12.75" customHeight="1">
      <c r="A20" s="5" t="s">
        <v>5</v>
      </c>
      <c r="B20" s="31">
        <v>2844</v>
      </c>
      <c r="C20" s="31">
        <v>1200</v>
      </c>
      <c r="D20" s="31">
        <v>1644</v>
      </c>
      <c r="E20" s="32">
        <f t="shared" si="0"/>
        <v>57.80590717299579</v>
      </c>
      <c r="F20" s="35">
        <f>(B20/2615)*100-100</f>
        <v>8.75717017208413</v>
      </c>
    </row>
    <row r="21" spans="1:7" ht="12.75" customHeight="1">
      <c r="A21" s="42" t="s">
        <v>41</v>
      </c>
      <c r="B21" s="31">
        <v>2071</v>
      </c>
      <c r="C21" s="31">
        <v>276</v>
      </c>
      <c r="D21" s="31">
        <v>1795</v>
      </c>
      <c r="E21" s="32">
        <f t="shared" si="0"/>
        <v>86.67310478029937</v>
      </c>
      <c r="F21" s="35">
        <f>(B21/1904)*100-100</f>
        <v>8.771008403361336</v>
      </c>
      <c r="G21" s="31"/>
    </row>
    <row r="22" spans="1:6" ht="12.75" customHeight="1">
      <c r="A22" s="3" t="s">
        <v>6</v>
      </c>
      <c r="B22" s="31">
        <v>2474</v>
      </c>
      <c r="C22" s="31">
        <v>1692</v>
      </c>
      <c r="D22" s="31">
        <v>782</v>
      </c>
      <c r="E22" s="32">
        <f t="shared" si="0"/>
        <v>31.608730800323364</v>
      </c>
      <c r="F22" s="35">
        <f>(B22/2457)*100-100</f>
        <v>0.6919006919006847</v>
      </c>
    </row>
    <row r="23" spans="1:12" s="10" customFormat="1" ht="12.75" customHeight="1">
      <c r="A23" s="1" t="s">
        <v>52</v>
      </c>
      <c r="B23" s="31"/>
      <c r="C23" s="31"/>
      <c r="D23" s="31"/>
      <c r="E23" s="32"/>
      <c r="F23" s="35"/>
      <c r="G23" s="6"/>
      <c r="H23" s="6"/>
      <c r="I23" s="6"/>
      <c r="J23" s="6"/>
      <c r="K23" s="6"/>
      <c r="L23" s="6"/>
    </row>
    <row r="24" spans="1:12" s="8" customFormat="1" ht="12.75" customHeight="1">
      <c r="A24" s="3" t="s">
        <v>7</v>
      </c>
      <c r="B24" s="31"/>
      <c r="C24" s="31"/>
      <c r="D24" s="31"/>
      <c r="E24" s="32"/>
      <c r="F24" s="35"/>
      <c r="G24" s="1"/>
      <c r="H24" s="1"/>
      <c r="I24" s="1"/>
      <c r="J24" s="1"/>
      <c r="K24" s="1"/>
      <c r="L24" s="1"/>
    </row>
    <row r="25" spans="1:12" s="8" customFormat="1" ht="12.75" customHeight="1">
      <c r="A25" s="7" t="s">
        <v>14</v>
      </c>
      <c r="B25" s="31">
        <v>3915</v>
      </c>
      <c r="C25" s="31">
        <v>2903</v>
      </c>
      <c r="D25" s="31">
        <v>1012</v>
      </c>
      <c r="E25" s="32">
        <f t="shared" si="0"/>
        <v>25.849297573435503</v>
      </c>
      <c r="F25" s="35">
        <f>(B25/3503)*100-100</f>
        <v>11.761347416500143</v>
      </c>
      <c r="G25" s="1"/>
      <c r="H25" s="1"/>
      <c r="I25" s="1"/>
      <c r="J25" s="1"/>
      <c r="K25" s="1"/>
      <c r="L25" s="1"/>
    </row>
    <row r="26" spans="1:12" s="10" customFormat="1" ht="24.75" customHeight="1">
      <c r="A26" s="7" t="s">
        <v>12</v>
      </c>
      <c r="B26" s="31">
        <v>3188</v>
      </c>
      <c r="C26" s="31">
        <v>2642</v>
      </c>
      <c r="D26" s="31">
        <v>546</v>
      </c>
      <c r="E26" s="32">
        <f t="shared" si="0"/>
        <v>17.126725219573398</v>
      </c>
      <c r="F26" s="35">
        <f>(B26/3028)*100-100</f>
        <v>5.28401585204756</v>
      </c>
      <c r="G26" s="6"/>
      <c r="H26" s="6"/>
      <c r="I26" s="6"/>
      <c r="J26" s="6"/>
      <c r="K26" s="6"/>
      <c r="L26" s="6"/>
    </row>
    <row r="27" spans="1:6" ht="12.75" customHeight="1">
      <c r="A27" s="7" t="s">
        <v>13</v>
      </c>
      <c r="B27" s="31">
        <v>11375</v>
      </c>
      <c r="C27" s="31">
        <v>7565</v>
      </c>
      <c r="D27" s="31">
        <v>3810</v>
      </c>
      <c r="E27" s="32">
        <f t="shared" si="0"/>
        <v>33.494505494505496</v>
      </c>
      <c r="F27" s="35">
        <f>(B27/12367)*100-100</f>
        <v>-8.021347133500441</v>
      </c>
    </row>
    <row r="28" spans="1:11" s="8" customFormat="1" ht="25.5">
      <c r="A28" s="41" t="s">
        <v>22</v>
      </c>
      <c r="B28" s="31">
        <v>9060</v>
      </c>
      <c r="C28" s="31">
        <v>2896</v>
      </c>
      <c r="D28" s="31">
        <v>6164</v>
      </c>
      <c r="E28" s="32">
        <f t="shared" si="0"/>
        <v>68.03532008830022</v>
      </c>
      <c r="F28" s="35">
        <f>(B28/6180)*100-100</f>
        <v>46.60194174757282</v>
      </c>
      <c r="G28" s="1"/>
      <c r="H28" s="1"/>
      <c r="I28" s="1"/>
      <c r="J28" s="39"/>
      <c r="K28" s="39"/>
    </row>
    <row r="29" spans="1:11" s="10" customFormat="1" ht="24.75" customHeight="1">
      <c r="A29" s="3" t="s">
        <v>35</v>
      </c>
      <c r="B29" s="31"/>
      <c r="C29" s="31"/>
      <c r="D29" s="31"/>
      <c r="E29" s="32"/>
      <c r="F29" s="35"/>
      <c r="G29" s="6"/>
      <c r="H29" s="6"/>
      <c r="I29" s="6"/>
      <c r="J29" s="38"/>
      <c r="K29" s="38"/>
    </row>
    <row r="30" spans="1:11" s="10" customFormat="1" ht="24.75" customHeight="1">
      <c r="A30" s="78" t="s">
        <v>66</v>
      </c>
      <c r="B30" s="31">
        <v>7265</v>
      </c>
      <c r="C30" s="31">
        <v>4348</v>
      </c>
      <c r="D30" s="31">
        <v>2917</v>
      </c>
      <c r="E30" s="32">
        <v>40.2</v>
      </c>
      <c r="F30" s="35">
        <v>20.102496280376922</v>
      </c>
      <c r="G30" s="6"/>
      <c r="H30" s="6"/>
      <c r="I30" s="6"/>
      <c r="J30" s="38"/>
      <c r="K30" s="38"/>
    </row>
    <row r="31" spans="1:11" s="10" customFormat="1" ht="24.75" customHeight="1">
      <c r="A31" s="9" t="s">
        <v>19</v>
      </c>
      <c r="B31" s="31">
        <v>9781</v>
      </c>
      <c r="C31" s="31">
        <v>5115</v>
      </c>
      <c r="D31" s="31">
        <v>4666</v>
      </c>
      <c r="E31" s="32">
        <v>47.7</v>
      </c>
      <c r="F31" s="35">
        <v>0.09209987720016373</v>
      </c>
      <c r="G31" s="6"/>
      <c r="H31" s="6"/>
      <c r="I31" s="6"/>
      <c r="J31" s="38"/>
      <c r="K31" s="38"/>
    </row>
    <row r="32" spans="1:11" s="10" customFormat="1" ht="24.75" customHeight="1">
      <c r="A32" s="9" t="s">
        <v>30</v>
      </c>
      <c r="B32" s="31">
        <v>1056</v>
      </c>
      <c r="C32" s="31">
        <v>604</v>
      </c>
      <c r="D32" s="31">
        <v>452</v>
      </c>
      <c r="E32" s="32">
        <v>42.8</v>
      </c>
      <c r="F32" s="35">
        <v>0</v>
      </c>
      <c r="G32" s="6"/>
      <c r="H32" s="6"/>
      <c r="I32" s="6"/>
      <c r="J32" s="38"/>
      <c r="K32" s="38"/>
    </row>
    <row r="33" spans="1:11" ht="12.75" customHeight="1">
      <c r="A33" s="9" t="s">
        <v>31</v>
      </c>
      <c r="B33" s="31">
        <v>287</v>
      </c>
      <c r="C33" s="31">
        <v>206</v>
      </c>
      <c r="D33" s="31">
        <v>81</v>
      </c>
      <c r="E33" s="32">
        <v>28.2</v>
      </c>
      <c r="F33" s="35">
        <v>0</v>
      </c>
      <c r="J33" s="39"/>
      <c r="K33" s="39"/>
    </row>
    <row r="34" spans="1:11" s="6" customFormat="1" ht="25.5">
      <c r="A34" s="9" t="s">
        <v>15</v>
      </c>
      <c r="B34" s="31">
        <v>1271</v>
      </c>
      <c r="C34" s="31">
        <v>707</v>
      </c>
      <c r="D34" s="31">
        <v>564</v>
      </c>
      <c r="E34" s="32">
        <v>44.4</v>
      </c>
      <c r="F34" s="35">
        <v>-0.6259780907668232</v>
      </c>
      <c r="G34" s="45"/>
      <c r="J34" s="38"/>
      <c r="K34" s="38"/>
    </row>
    <row r="35" spans="1:11" s="6" customFormat="1" ht="24.75" customHeight="1">
      <c r="A35" s="9" t="s">
        <v>39</v>
      </c>
      <c r="B35" s="31">
        <v>914</v>
      </c>
      <c r="C35" s="31">
        <v>245</v>
      </c>
      <c r="D35" s="31">
        <v>669</v>
      </c>
      <c r="E35" s="32">
        <v>73.2</v>
      </c>
      <c r="F35" s="35">
        <v>-3.28042328042328</v>
      </c>
      <c r="J35" s="38"/>
      <c r="K35" s="38"/>
    </row>
    <row r="36" spans="1:11" ht="12.75" customHeight="1">
      <c r="A36" s="1" t="s">
        <v>8</v>
      </c>
      <c r="B36" s="31"/>
      <c r="C36" s="31"/>
      <c r="D36" s="31"/>
      <c r="E36" s="32"/>
      <c r="F36" s="35"/>
      <c r="J36" s="39"/>
      <c r="K36" s="39"/>
    </row>
    <row r="37" spans="1:11" ht="24.75" customHeight="1">
      <c r="A37" s="5" t="s">
        <v>20</v>
      </c>
      <c r="B37" s="31">
        <v>269</v>
      </c>
      <c r="C37" s="31">
        <v>257</v>
      </c>
      <c r="D37" s="31">
        <v>12</v>
      </c>
      <c r="E37" s="32">
        <f>(D37/B37)*100</f>
        <v>4.4609665427509295</v>
      </c>
      <c r="F37" s="35">
        <f>(B37/258)*100-100</f>
        <v>4.263565891472879</v>
      </c>
      <c r="J37" s="39"/>
      <c r="K37" s="39"/>
    </row>
    <row r="38" spans="1:11" ht="24.75" customHeight="1">
      <c r="A38" s="5" t="s">
        <v>70</v>
      </c>
      <c r="B38" s="31">
        <v>1068</v>
      </c>
      <c r="C38" s="31">
        <v>302</v>
      </c>
      <c r="D38" s="31">
        <v>766</v>
      </c>
      <c r="E38" s="32">
        <f>(D38/B38)*100</f>
        <v>71.72284644194757</v>
      </c>
      <c r="F38" s="35">
        <f>(B38/966)*100-100</f>
        <v>10.559006211180133</v>
      </c>
      <c r="J38" s="39"/>
      <c r="K38" s="39"/>
    </row>
    <row r="39" spans="1:11" ht="24.75" customHeight="1">
      <c r="A39" s="5" t="s">
        <v>36</v>
      </c>
      <c r="B39" s="31">
        <v>2361</v>
      </c>
      <c r="C39" s="31">
        <v>1915</v>
      </c>
      <c r="D39" s="31">
        <v>446</v>
      </c>
      <c r="E39" s="32">
        <v>18.9</v>
      </c>
      <c r="F39" s="35">
        <v>-10.466439135381114</v>
      </c>
      <c r="J39" s="39"/>
      <c r="K39" s="39"/>
    </row>
    <row r="40" spans="1:11" ht="24.75" customHeight="1">
      <c r="A40" s="5" t="s">
        <v>40</v>
      </c>
      <c r="B40" s="31">
        <v>1699</v>
      </c>
      <c r="C40" s="31">
        <v>860</v>
      </c>
      <c r="D40" s="31">
        <v>839</v>
      </c>
      <c r="E40" s="32">
        <v>49.4</v>
      </c>
      <c r="F40" s="35">
        <v>-0.2934272300469483</v>
      </c>
      <c r="J40" s="39"/>
      <c r="K40" s="39"/>
    </row>
    <row r="41" spans="1:11" ht="12.75" customHeight="1">
      <c r="A41" s="1" t="s">
        <v>3</v>
      </c>
      <c r="B41" s="31">
        <v>2806</v>
      </c>
      <c r="C41" s="31">
        <v>1735</v>
      </c>
      <c r="D41" s="31">
        <v>1071</v>
      </c>
      <c r="E41" s="32">
        <v>38.2</v>
      </c>
      <c r="F41" s="35">
        <v>4</v>
      </c>
      <c r="J41" s="39"/>
      <c r="K41" s="39"/>
    </row>
    <row r="42" spans="1:6" ht="3.75" customHeight="1">
      <c r="A42" s="17"/>
      <c r="B42" s="19"/>
      <c r="C42" s="17"/>
      <c r="D42" s="17"/>
      <c r="E42" s="17"/>
      <c r="F42" s="17"/>
    </row>
    <row r="44" ht="12.75" customHeight="1">
      <c r="A44" s="1" t="s">
        <v>71</v>
      </c>
    </row>
    <row r="46" spans="1:4" ht="12.75" customHeight="1">
      <c r="A46" s="11" t="s">
        <v>59</v>
      </c>
      <c r="D46" s="31"/>
    </row>
    <row r="47" spans="1:256" ht="12.75" customHeight="1">
      <c r="A47" s="36" t="s">
        <v>23</v>
      </c>
      <c r="D47" s="3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 customHeight="1">
      <c r="A48" s="36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7" ht="12.75" customHeight="1">
      <c r="A49" s="36" t="s">
        <v>61</v>
      </c>
      <c r="B49" s="36"/>
      <c r="C49" s="36"/>
      <c r="D49" s="36"/>
      <c r="E49" s="36"/>
      <c r="F49" s="36"/>
      <c r="G49" s="36"/>
    </row>
    <row r="50" ht="12.75" customHeight="1">
      <c r="A50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29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31">
        <v>16482</v>
      </c>
      <c r="C14" s="31">
        <v>7196</v>
      </c>
      <c r="D14" s="31">
        <v>9286</v>
      </c>
      <c r="E14" s="32">
        <f aca="true" t="shared" si="0" ref="E14:E27">(D14/B14)*100</f>
        <v>56.34024996966388</v>
      </c>
      <c r="F14" s="35">
        <f>(B14/19202)*100-100</f>
        <v>-14.16519112592438</v>
      </c>
      <c r="J14" s="39"/>
      <c r="K14" s="39"/>
    </row>
    <row r="15" spans="1:6" ht="12.75" customHeight="1">
      <c r="A15" s="3" t="s">
        <v>4</v>
      </c>
      <c r="B15" s="31">
        <v>9027</v>
      </c>
      <c r="C15" s="31">
        <v>5374</v>
      </c>
      <c r="D15" s="31">
        <v>3653</v>
      </c>
      <c r="E15" s="32">
        <f t="shared" si="0"/>
        <v>40.46748642960009</v>
      </c>
      <c r="F15" s="35">
        <f>(B15/8185)*100-100</f>
        <v>10.287110568112396</v>
      </c>
    </row>
    <row r="16" spans="1:6" ht="12.75" customHeight="1">
      <c r="A16" s="58" t="s">
        <v>75</v>
      </c>
      <c r="B16" s="31">
        <v>302</v>
      </c>
      <c r="C16" s="31">
        <v>38</v>
      </c>
      <c r="D16" s="31">
        <v>264</v>
      </c>
      <c r="E16" s="32">
        <f t="shared" si="0"/>
        <v>87.41721854304636</v>
      </c>
      <c r="F16" s="35">
        <f>(B16/510)*100-100</f>
        <v>-40.78431372549019</v>
      </c>
    </row>
    <row r="17" spans="1:6" ht="12.75" customHeight="1">
      <c r="A17" s="3" t="s">
        <v>45</v>
      </c>
      <c r="B17" s="31">
        <v>51780</v>
      </c>
      <c r="C17" s="31">
        <v>29022</v>
      </c>
      <c r="D17" s="31">
        <v>22758</v>
      </c>
      <c r="E17" s="32">
        <f t="shared" si="0"/>
        <v>43.9513325608343</v>
      </c>
      <c r="F17" s="35">
        <f>(B17/51700)*100-100</f>
        <v>0.15473887814312093</v>
      </c>
    </row>
    <row r="18" spans="1:6" ht="12.75" customHeight="1">
      <c r="A18" s="3" t="s">
        <v>42</v>
      </c>
      <c r="B18" s="31">
        <v>6107</v>
      </c>
      <c r="C18" s="31">
        <v>742</v>
      </c>
      <c r="D18" s="31">
        <v>5365</v>
      </c>
      <c r="E18" s="32">
        <f t="shared" si="0"/>
        <v>87.85000818732603</v>
      </c>
      <c r="F18" s="35">
        <f>(B18/5914)*100-100</f>
        <v>3.263442678390277</v>
      </c>
    </row>
    <row r="19" spans="1:6" s="6" customFormat="1" ht="12.75" customHeight="1">
      <c r="A19" s="5" t="s">
        <v>5</v>
      </c>
      <c r="B19" s="31">
        <v>2615</v>
      </c>
      <c r="C19" s="31">
        <v>1122</v>
      </c>
      <c r="D19" s="31">
        <v>1493</v>
      </c>
      <c r="E19" s="32">
        <f t="shared" si="0"/>
        <v>57.09369024856596</v>
      </c>
      <c r="F19" s="35">
        <f>(B19/2475)*100-100</f>
        <v>5.656565656565647</v>
      </c>
    </row>
    <row r="20" spans="1:6" s="6" customFormat="1" ht="12.75" customHeight="1">
      <c r="A20" s="5" t="s">
        <v>34</v>
      </c>
      <c r="B20" s="31">
        <v>1904</v>
      </c>
      <c r="C20" s="31">
        <v>300</v>
      </c>
      <c r="D20" s="31">
        <v>1604</v>
      </c>
      <c r="E20" s="32">
        <f t="shared" si="0"/>
        <v>84.24369747899159</v>
      </c>
      <c r="F20" s="35">
        <f>(B20/1986)*100-100</f>
        <v>-4.128902316213484</v>
      </c>
    </row>
    <row r="21" spans="1:6" ht="12.75" customHeight="1">
      <c r="A21" s="3" t="s">
        <v>6</v>
      </c>
      <c r="B21" s="31">
        <v>2457</v>
      </c>
      <c r="C21" s="31">
        <v>1657</v>
      </c>
      <c r="D21" s="31">
        <v>800</v>
      </c>
      <c r="E21" s="32">
        <f t="shared" si="0"/>
        <v>32.56003256003256</v>
      </c>
      <c r="F21" s="35">
        <f>(B21/2251)*100-100</f>
        <v>9.151488227454465</v>
      </c>
    </row>
    <row r="22" spans="1:7" ht="12.75" customHeight="1">
      <c r="A22" s="1" t="s">
        <v>52</v>
      </c>
      <c r="B22" s="31"/>
      <c r="C22" s="31"/>
      <c r="D22" s="31"/>
      <c r="E22" s="32"/>
      <c r="F22" s="35"/>
      <c r="G22" s="31"/>
    </row>
    <row r="23" spans="1:6" ht="12.75" customHeight="1">
      <c r="A23" s="3" t="s">
        <v>7</v>
      </c>
      <c r="B23" s="31"/>
      <c r="C23" s="31"/>
      <c r="D23" s="31"/>
      <c r="E23" s="32"/>
      <c r="F23" s="35"/>
    </row>
    <row r="24" spans="1:12" s="10" customFormat="1" ht="12.75" customHeight="1">
      <c r="A24" s="7" t="s">
        <v>14</v>
      </c>
      <c r="B24" s="31">
        <v>3503</v>
      </c>
      <c r="C24" s="31">
        <v>2589</v>
      </c>
      <c r="D24" s="31">
        <v>914</v>
      </c>
      <c r="E24" s="32">
        <f t="shared" si="0"/>
        <v>26.091921210391096</v>
      </c>
      <c r="F24" s="35">
        <f>(B24/3351)*100-100</f>
        <v>4.535959415099967</v>
      </c>
      <c r="G24" s="6"/>
      <c r="H24" s="6"/>
      <c r="I24" s="6"/>
      <c r="J24" s="6"/>
      <c r="K24" s="6"/>
      <c r="L24" s="6"/>
    </row>
    <row r="25" spans="1:12" s="8" customFormat="1" ht="12.75" customHeight="1">
      <c r="A25" s="7" t="s">
        <v>12</v>
      </c>
      <c r="B25" s="31">
        <v>3028</v>
      </c>
      <c r="C25" s="31">
        <v>2592</v>
      </c>
      <c r="D25" s="31">
        <v>436</v>
      </c>
      <c r="E25" s="32">
        <f t="shared" si="0"/>
        <v>14.398943196829592</v>
      </c>
      <c r="F25" s="35">
        <f>(B25/3043)*100-100</f>
        <v>-0.49293460400919287</v>
      </c>
      <c r="G25" s="1"/>
      <c r="H25" s="1"/>
      <c r="I25" s="1"/>
      <c r="J25" s="1"/>
      <c r="K25" s="1"/>
      <c r="L25" s="1"/>
    </row>
    <row r="26" spans="1:12" s="8" customFormat="1" ht="12.75" customHeight="1">
      <c r="A26" s="7" t="s">
        <v>13</v>
      </c>
      <c r="B26" s="31">
        <v>12367</v>
      </c>
      <c r="C26" s="31">
        <v>8313</v>
      </c>
      <c r="D26" s="31">
        <v>4054</v>
      </c>
      <c r="E26" s="32">
        <f t="shared" si="0"/>
        <v>32.7807875798496</v>
      </c>
      <c r="F26" s="35">
        <f>(B26/9549)*100-100</f>
        <v>29.510943554298876</v>
      </c>
      <c r="G26" s="1"/>
      <c r="H26" s="1"/>
      <c r="I26" s="1"/>
      <c r="J26" s="1"/>
      <c r="K26" s="1"/>
      <c r="L26" s="1"/>
    </row>
    <row r="27" spans="1:12" s="10" customFormat="1" ht="24.75" customHeight="1">
      <c r="A27" s="41" t="s">
        <v>22</v>
      </c>
      <c r="B27" s="31">
        <v>6180</v>
      </c>
      <c r="C27" s="31">
        <v>3145</v>
      </c>
      <c r="D27" s="31">
        <v>3035</v>
      </c>
      <c r="E27" s="32">
        <f t="shared" si="0"/>
        <v>49.11003236245955</v>
      </c>
      <c r="F27" s="35">
        <f>(B27/6806)*100-100</f>
        <v>-9.197766676461953</v>
      </c>
      <c r="G27" s="6"/>
      <c r="H27" s="6"/>
      <c r="I27" s="6"/>
      <c r="J27" s="6"/>
      <c r="K27" s="6"/>
      <c r="L27" s="6"/>
    </row>
    <row r="28" spans="1:6" ht="12.75" customHeight="1">
      <c r="A28" s="3" t="s">
        <v>35</v>
      </c>
      <c r="B28" s="31"/>
      <c r="C28" s="31"/>
      <c r="D28" s="31"/>
      <c r="E28" s="32"/>
      <c r="F28" s="35"/>
    </row>
    <row r="29" spans="1:11" s="8" customFormat="1" ht="25.5">
      <c r="A29" s="78" t="s">
        <v>66</v>
      </c>
      <c r="B29" s="31">
        <v>6049</v>
      </c>
      <c r="C29" s="31">
        <v>4091</v>
      </c>
      <c r="D29" s="31">
        <v>1958</v>
      </c>
      <c r="E29" s="32">
        <v>32.4</v>
      </c>
      <c r="F29" s="35">
        <v>34.21344575105392</v>
      </c>
      <c r="G29" s="55"/>
      <c r="H29" s="55"/>
      <c r="I29" s="55"/>
      <c r="J29" s="54"/>
      <c r="K29" s="54"/>
    </row>
    <row r="30" spans="1:11" s="10" customFormat="1" ht="24.75" customHeight="1">
      <c r="A30" s="9" t="s">
        <v>19</v>
      </c>
      <c r="B30" s="31">
        <v>9773</v>
      </c>
      <c r="C30" s="31">
        <v>5217</v>
      </c>
      <c r="D30" s="31">
        <v>4556</v>
      </c>
      <c r="E30" s="32">
        <v>46.6</v>
      </c>
      <c r="F30" s="35">
        <v>3.6816976127320955</v>
      </c>
      <c r="G30" s="55"/>
      <c r="H30" s="55"/>
      <c r="I30" s="55"/>
      <c r="J30" s="54"/>
      <c r="K30" s="54"/>
    </row>
    <row r="31" spans="1:11" s="10" customFormat="1" ht="24.75" customHeight="1">
      <c r="A31" s="9" t="s">
        <v>30</v>
      </c>
      <c r="B31" s="31">
        <v>141</v>
      </c>
      <c r="C31" s="31">
        <v>34</v>
      </c>
      <c r="D31" s="31">
        <v>107</v>
      </c>
      <c r="E31" s="32">
        <v>75.9</v>
      </c>
      <c r="F31" s="35" t="s">
        <v>25</v>
      </c>
      <c r="G31" s="55"/>
      <c r="H31" s="55"/>
      <c r="I31" s="55"/>
      <c r="J31" s="54"/>
      <c r="K31" s="54"/>
    </row>
    <row r="32" spans="1:11" s="10" customFormat="1" ht="24.75" customHeight="1">
      <c r="A32" s="9" t="s">
        <v>31</v>
      </c>
      <c r="B32" s="31">
        <v>57</v>
      </c>
      <c r="C32" s="31">
        <v>41</v>
      </c>
      <c r="D32" s="31">
        <v>16</v>
      </c>
      <c r="E32" s="32">
        <v>28.1</v>
      </c>
      <c r="F32" s="35" t="s">
        <v>25</v>
      </c>
      <c r="G32" s="55"/>
      <c r="H32" s="55"/>
      <c r="I32" s="55"/>
      <c r="J32" s="54"/>
      <c r="K32" s="54"/>
    </row>
    <row r="33" spans="1:11" s="10" customFormat="1" ht="24.75" customHeight="1">
      <c r="A33" s="9" t="s">
        <v>15</v>
      </c>
      <c r="B33" s="31">
        <v>1278</v>
      </c>
      <c r="C33" s="31">
        <v>690</v>
      </c>
      <c r="D33" s="31">
        <v>588</v>
      </c>
      <c r="E33" s="32">
        <v>46</v>
      </c>
      <c r="F33" s="35">
        <v>0.7092198581560284</v>
      </c>
      <c r="G33" s="55"/>
      <c r="H33" s="55"/>
      <c r="I33" s="55"/>
      <c r="J33" s="54"/>
      <c r="K33" s="54"/>
    </row>
    <row r="34" spans="1:11" s="10" customFormat="1" ht="24.75" customHeight="1">
      <c r="A34" s="9" t="s">
        <v>39</v>
      </c>
      <c r="B34" s="31">
        <v>945</v>
      </c>
      <c r="C34" s="31">
        <v>331</v>
      </c>
      <c r="D34" s="31">
        <v>614</v>
      </c>
      <c r="E34" s="32">
        <v>65</v>
      </c>
      <c r="F34" s="35">
        <v>-3.669724770642202</v>
      </c>
      <c r="G34" s="55"/>
      <c r="H34" s="55"/>
      <c r="I34" s="55"/>
      <c r="J34" s="54"/>
      <c r="K34" s="54"/>
    </row>
    <row r="35" spans="1:11" ht="12.75" customHeight="1">
      <c r="A35" s="1" t="s">
        <v>8</v>
      </c>
      <c r="B35" s="31"/>
      <c r="C35" s="31"/>
      <c r="D35" s="31"/>
      <c r="E35" s="32"/>
      <c r="F35" s="35"/>
      <c r="G35" s="55"/>
      <c r="H35" s="55"/>
      <c r="I35" s="55"/>
      <c r="J35" s="54"/>
      <c r="K35" s="54"/>
    </row>
    <row r="36" spans="1:11" s="6" customFormat="1" ht="24.75" customHeight="1">
      <c r="A36" s="5" t="s">
        <v>20</v>
      </c>
      <c r="B36" s="31">
        <v>258</v>
      </c>
      <c r="C36" s="31">
        <v>232</v>
      </c>
      <c r="D36" s="31">
        <v>26</v>
      </c>
      <c r="E36" s="32">
        <f>(D36/B36)*100</f>
        <v>10.077519379844961</v>
      </c>
      <c r="F36" s="35">
        <f>(B36/297)*100-100</f>
        <v>-13.13131313131312</v>
      </c>
      <c r="G36" s="55"/>
      <c r="H36" s="55"/>
      <c r="I36" s="55"/>
      <c r="J36" s="54"/>
      <c r="K36" s="54"/>
    </row>
    <row r="37" spans="1:11" s="6" customFormat="1" ht="24.75" customHeight="1">
      <c r="A37" s="5" t="s">
        <v>70</v>
      </c>
      <c r="B37" s="31">
        <v>966</v>
      </c>
      <c r="C37" s="31">
        <v>276</v>
      </c>
      <c r="D37" s="31">
        <v>690</v>
      </c>
      <c r="E37" s="32">
        <f>(D37/B37)*100</f>
        <v>71.42857142857143</v>
      </c>
      <c r="F37" s="35">
        <f>(B37/1021)*100-100</f>
        <v>-5.386875612144962</v>
      </c>
      <c r="G37" s="55"/>
      <c r="H37" s="55"/>
      <c r="I37" s="55"/>
      <c r="J37" s="54"/>
      <c r="K37" s="54"/>
    </row>
    <row r="38" spans="1:11" ht="24.75" customHeight="1">
      <c r="A38" s="5" t="s">
        <v>36</v>
      </c>
      <c r="B38" s="31">
        <v>2637</v>
      </c>
      <c r="C38" s="31">
        <v>2182</v>
      </c>
      <c r="D38" s="31">
        <v>455</v>
      </c>
      <c r="E38" s="32">
        <v>17.3</v>
      </c>
      <c r="F38" s="35">
        <v>35.7179619145651</v>
      </c>
      <c r="G38" s="55"/>
      <c r="H38" s="55"/>
      <c r="I38" s="55"/>
      <c r="J38" s="54"/>
      <c r="K38" s="54"/>
    </row>
    <row r="39" spans="1:11" ht="24.75" customHeight="1">
      <c r="A39" s="5" t="s">
        <v>40</v>
      </c>
      <c r="B39" s="31">
        <v>1704</v>
      </c>
      <c r="C39" s="31">
        <v>928</v>
      </c>
      <c r="D39" s="31">
        <v>776</v>
      </c>
      <c r="E39" s="32">
        <v>45.5</v>
      </c>
      <c r="F39" s="35">
        <v>13.072329130723293</v>
      </c>
      <c r="G39" s="55"/>
      <c r="H39" s="55"/>
      <c r="I39" s="55"/>
      <c r="J39" s="54"/>
      <c r="K39" s="54"/>
    </row>
    <row r="40" spans="1:11" ht="12.75" customHeight="1">
      <c r="A40" s="1" t="s">
        <v>3</v>
      </c>
      <c r="B40" s="31">
        <v>2696</v>
      </c>
      <c r="C40" s="31">
        <v>1713</v>
      </c>
      <c r="D40" s="31">
        <v>983</v>
      </c>
      <c r="E40" s="32">
        <v>36.5</v>
      </c>
      <c r="F40" s="35">
        <v>-3.7486611924312747</v>
      </c>
      <c r="G40" s="55"/>
      <c r="H40" s="55"/>
      <c r="I40" s="55"/>
      <c r="J40" s="54"/>
      <c r="K40" s="54"/>
    </row>
    <row r="41" spans="1:6" ht="3.75" customHeight="1">
      <c r="A41" s="17"/>
      <c r="B41" s="19"/>
      <c r="C41" s="17"/>
      <c r="D41" s="17"/>
      <c r="E41" s="17"/>
      <c r="F41" s="17"/>
    </row>
    <row r="43" ht="12.75" customHeight="1">
      <c r="A43" s="1" t="s">
        <v>71</v>
      </c>
    </row>
    <row r="45" spans="1:4" ht="12.75" customHeight="1">
      <c r="A45" s="11" t="s">
        <v>59</v>
      </c>
      <c r="D45" s="31"/>
    </row>
    <row r="46" spans="1:256" ht="12.75" customHeight="1">
      <c r="A46" s="36" t="s">
        <v>23</v>
      </c>
      <c r="D46" s="3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 customHeight="1">
      <c r="A47" s="36" t="s">
        <v>60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7" ht="12.75" customHeight="1">
      <c r="A48" s="36" t="s">
        <v>61</v>
      </c>
      <c r="B48" s="36"/>
      <c r="C48" s="36"/>
      <c r="D48" s="36"/>
      <c r="E48" s="36"/>
      <c r="F48" s="36"/>
      <c r="G48" s="36"/>
    </row>
    <row r="49" ht="12.75" customHeight="1">
      <c r="A49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8" width="8.28125" style="1" customWidth="1"/>
    <col min="9" max="16384" width="11.421875" style="1" customWidth="1"/>
  </cols>
  <sheetData>
    <row r="1" spans="1:6" s="13" customFormat="1" ht="12.75" customHeight="1">
      <c r="A1" s="14" t="s">
        <v>28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59">
        <v>19202</v>
      </c>
      <c r="C14" s="59">
        <v>8448</v>
      </c>
      <c r="D14" s="59">
        <v>10754</v>
      </c>
      <c r="E14" s="63">
        <f>(D14/B14)*100</f>
        <v>56.0045828559525</v>
      </c>
      <c r="F14" s="73">
        <f>(B14/17793)*100-100</f>
        <v>7.9188444894059415</v>
      </c>
      <c r="J14" s="39"/>
      <c r="K14" s="39"/>
    </row>
    <row r="15" spans="1:6" ht="12.75" customHeight="1">
      <c r="A15" s="3" t="s">
        <v>4</v>
      </c>
      <c r="B15" s="59">
        <v>8185</v>
      </c>
      <c r="C15" s="59">
        <v>5116</v>
      </c>
      <c r="D15" s="59">
        <v>3069</v>
      </c>
      <c r="E15" s="63">
        <f>(D15/B15)*100</f>
        <v>37.49541844838119</v>
      </c>
      <c r="F15" s="73">
        <f>(B15/7289)*100-100</f>
        <v>12.292495541226515</v>
      </c>
    </row>
    <row r="16" spans="1:6" ht="12.75" customHeight="1">
      <c r="A16" s="58" t="s">
        <v>75</v>
      </c>
      <c r="B16" s="59">
        <v>510</v>
      </c>
      <c r="C16" s="59">
        <v>55</v>
      </c>
      <c r="D16" s="59">
        <v>455</v>
      </c>
      <c r="E16" s="63">
        <f aca="true" t="shared" si="0" ref="E16:E27">(D16/B16)*100</f>
        <v>89.2156862745098</v>
      </c>
      <c r="F16" s="73">
        <f>(B16/708)*100-100</f>
        <v>-27.966101694915253</v>
      </c>
    </row>
    <row r="17" spans="1:6" ht="12.75" customHeight="1">
      <c r="A17" s="3" t="s">
        <v>45</v>
      </c>
      <c r="B17" s="59">
        <v>51700</v>
      </c>
      <c r="C17" s="59">
        <v>29640</v>
      </c>
      <c r="D17" s="59">
        <v>22060</v>
      </c>
      <c r="E17" s="63">
        <f t="shared" si="0"/>
        <v>42.66924564796905</v>
      </c>
      <c r="F17" s="73">
        <f>(B17/51928)*100-100</f>
        <v>-0.4390694808195974</v>
      </c>
    </row>
    <row r="18" spans="1:6" ht="12.75" customHeight="1">
      <c r="A18" s="3" t="s">
        <v>42</v>
      </c>
      <c r="B18" s="59">
        <v>5914</v>
      </c>
      <c r="C18" s="59">
        <v>850</v>
      </c>
      <c r="D18" s="59">
        <v>5064</v>
      </c>
      <c r="E18" s="63">
        <f t="shared" si="0"/>
        <v>85.62732499154548</v>
      </c>
      <c r="F18" s="73">
        <f>(B18/6086)*100-100</f>
        <v>-2.8261583963194283</v>
      </c>
    </row>
    <row r="19" spans="1:6" ht="12.75" customHeight="1">
      <c r="A19" s="5" t="s">
        <v>5</v>
      </c>
      <c r="B19" s="59">
        <v>2475</v>
      </c>
      <c r="C19" s="59">
        <v>1057</v>
      </c>
      <c r="D19" s="59">
        <v>1418</v>
      </c>
      <c r="E19" s="63">
        <f t="shared" si="0"/>
        <v>57.292929292929294</v>
      </c>
      <c r="F19" s="73">
        <f>(B19/2320)*100-100</f>
        <v>6.681034482758633</v>
      </c>
    </row>
    <row r="20" spans="1:6" s="6" customFormat="1" ht="12.75" customHeight="1">
      <c r="A20" s="5" t="s">
        <v>34</v>
      </c>
      <c r="B20" s="59">
        <v>1986</v>
      </c>
      <c r="C20" s="59">
        <v>378</v>
      </c>
      <c r="D20" s="59">
        <v>1608</v>
      </c>
      <c r="E20" s="63">
        <f t="shared" si="0"/>
        <v>80.96676737160121</v>
      </c>
      <c r="F20" s="73">
        <f>(B20/2101)*100-100</f>
        <v>-5.473584007615415</v>
      </c>
    </row>
    <row r="21" spans="1:6" s="6" customFormat="1" ht="12.75" customHeight="1">
      <c r="A21" s="3" t="s">
        <v>6</v>
      </c>
      <c r="B21" s="59">
        <v>2251</v>
      </c>
      <c r="C21" s="59">
        <v>1546</v>
      </c>
      <c r="D21" s="59">
        <v>705</v>
      </c>
      <c r="E21" s="63">
        <f t="shared" si="0"/>
        <v>31.319413593958238</v>
      </c>
      <c r="F21" s="73">
        <f>(B21/2130)*100-100</f>
        <v>5.680751173708927</v>
      </c>
    </row>
    <row r="22" spans="1:6" ht="12.75" customHeight="1">
      <c r="A22" s="1" t="s">
        <v>52</v>
      </c>
      <c r="B22" s="59"/>
      <c r="C22" s="59"/>
      <c r="D22" s="59"/>
      <c r="E22" s="63"/>
      <c r="F22" s="73"/>
    </row>
    <row r="23" spans="1:6" ht="12.75" customHeight="1">
      <c r="A23" s="3" t="s">
        <v>7</v>
      </c>
      <c r="B23" s="59"/>
      <c r="C23" s="59"/>
      <c r="D23" s="59"/>
      <c r="E23" s="63"/>
      <c r="F23" s="73"/>
    </row>
    <row r="24" spans="1:6" ht="12.75" customHeight="1">
      <c r="A24" s="7" t="s">
        <v>14</v>
      </c>
      <c r="B24" s="59">
        <v>3351</v>
      </c>
      <c r="C24" s="59">
        <v>2447</v>
      </c>
      <c r="D24" s="59">
        <v>904</v>
      </c>
      <c r="E24" s="63">
        <f t="shared" si="0"/>
        <v>26.977021784541925</v>
      </c>
      <c r="F24" s="73">
        <f>(B24/3128)*100-100</f>
        <v>7.12915601023019</v>
      </c>
    </row>
    <row r="25" spans="1:6" s="10" customFormat="1" ht="12.75" customHeight="1">
      <c r="A25" s="7" t="s">
        <v>12</v>
      </c>
      <c r="B25" s="59">
        <v>3043</v>
      </c>
      <c r="C25" s="59">
        <v>2593</v>
      </c>
      <c r="D25" s="59">
        <v>450</v>
      </c>
      <c r="E25" s="63">
        <f t="shared" si="0"/>
        <v>14.788038120276042</v>
      </c>
      <c r="F25" s="73">
        <f>(B25/2782)*100-100</f>
        <v>9.38173975557153</v>
      </c>
    </row>
    <row r="26" spans="1:6" s="8" customFormat="1" ht="12.75" customHeight="1">
      <c r="A26" s="7" t="s">
        <v>13</v>
      </c>
      <c r="B26" s="59">
        <v>9549</v>
      </c>
      <c r="C26" s="59">
        <v>6081</v>
      </c>
      <c r="D26" s="59">
        <v>3468</v>
      </c>
      <c r="E26" s="63">
        <f t="shared" si="0"/>
        <v>36.31793905120955</v>
      </c>
      <c r="F26" s="73">
        <f>(B26/9320)*100-100</f>
        <v>2.4570815450643835</v>
      </c>
    </row>
    <row r="27" spans="1:6" s="8" customFormat="1" ht="12.75" customHeight="1">
      <c r="A27" s="41" t="s">
        <v>22</v>
      </c>
      <c r="B27" s="59">
        <v>6806</v>
      </c>
      <c r="C27" s="59">
        <v>3306</v>
      </c>
      <c r="D27" s="59">
        <v>3500</v>
      </c>
      <c r="E27" s="63">
        <f t="shared" si="0"/>
        <v>51.42521304731119</v>
      </c>
      <c r="F27" s="73">
        <f>(B27/7241)*100-100</f>
        <v>-6.007457533489841</v>
      </c>
    </row>
    <row r="28" spans="1:6" s="10" customFormat="1" ht="24.75" customHeight="1">
      <c r="A28" s="3" t="s">
        <v>35</v>
      </c>
      <c r="B28" s="59"/>
      <c r="C28" s="59"/>
      <c r="D28" s="59"/>
      <c r="E28" s="63"/>
      <c r="F28" s="73"/>
    </row>
    <row r="29" spans="1:6" ht="12.75" customHeight="1">
      <c r="A29" s="78" t="s">
        <v>72</v>
      </c>
      <c r="B29" s="31">
        <v>4507</v>
      </c>
      <c r="C29" s="31">
        <v>3296</v>
      </c>
      <c r="D29" s="31">
        <v>1211</v>
      </c>
      <c r="E29" s="32">
        <v>26.9</v>
      </c>
      <c r="F29" s="73">
        <v>14.7111224230084</v>
      </c>
    </row>
    <row r="30" spans="1:11" s="8" customFormat="1" ht="12.75" customHeight="1">
      <c r="A30" s="9" t="s">
        <v>19</v>
      </c>
      <c r="B30" s="31">
        <v>9425</v>
      </c>
      <c r="C30" s="31">
        <v>5188</v>
      </c>
      <c r="D30" s="31">
        <v>4237</v>
      </c>
      <c r="E30" s="32">
        <v>45</v>
      </c>
      <c r="F30" s="73">
        <v>1.0508256487239975</v>
      </c>
      <c r="G30" s="55"/>
      <c r="H30" s="55"/>
      <c r="I30" s="55"/>
      <c r="J30" s="54"/>
      <c r="K30" s="54"/>
    </row>
    <row r="31" spans="1:11" s="10" customFormat="1" ht="24.75" customHeight="1">
      <c r="A31" s="9" t="s">
        <v>30</v>
      </c>
      <c r="B31" s="31">
        <v>11</v>
      </c>
      <c r="C31" s="31">
        <v>2</v>
      </c>
      <c r="D31" s="31">
        <v>9</v>
      </c>
      <c r="E31" s="32">
        <v>81.8</v>
      </c>
      <c r="F31" s="73" t="s">
        <v>25</v>
      </c>
      <c r="G31" s="55"/>
      <c r="H31" s="55"/>
      <c r="I31" s="55"/>
      <c r="J31" s="54"/>
      <c r="K31" s="54"/>
    </row>
    <row r="32" spans="1:11" s="10" customFormat="1" ht="24.75" customHeight="1">
      <c r="A32" s="9" t="s">
        <v>15</v>
      </c>
      <c r="B32" s="31">
        <v>1270</v>
      </c>
      <c r="C32" s="31">
        <v>685</v>
      </c>
      <c r="D32" s="31">
        <v>585</v>
      </c>
      <c r="E32" s="32">
        <v>46.1</v>
      </c>
      <c r="F32" s="73">
        <v>-0.7818608287724784</v>
      </c>
      <c r="G32" s="55"/>
      <c r="H32" s="55"/>
      <c r="I32" s="55"/>
      <c r="J32" s="54"/>
      <c r="K32" s="54"/>
    </row>
    <row r="33" spans="1:11" s="10" customFormat="1" ht="24.75" customHeight="1">
      <c r="A33" s="9" t="s">
        <v>39</v>
      </c>
      <c r="B33" s="31">
        <v>981</v>
      </c>
      <c r="C33" s="31">
        <v>344</v>
      </c>
      <c r="D33" s="31">
        <v>637</v>
      </c>
      <c r="E33" s="32">
        <v>64.9</v>
      </c>
      <c r="F33" s="73">
        <v>3.699788583509514</v>
      </c>
      <c r="G33" s="55"/>
      <c r="H33" s="55"/>
      <c r="I33" s="55"/>
      <c r="J33" s="54"/>
      <c r="K33" s="54"/>
    </row>
    <row r="34" spans="1:11" ht="12.75" customHeight="1">
      <c r="A34" s="1" t="s">
        <v>8</v>
      </c>
      <c r="B34" s="31"/>
      <c r="C34" s="31"/>
      <c r="D34" s="31"/>
      <c r="E34" s="32"/>
      <c r="F34" s="73"/>
      <c r="G34" s="55"/>
      <c r="H34" s="55"/>
      <c r="I34" s="55"/>
      <c r="J34" s="54"/>
      <c r="K34" s="54"/>
    </row>
    <row r="35" spans="1:11" s="53" customFormat="1" ht="24.75" customHeight="1">
      <c r="A35" s="5" t="s">
        <v>20</v>
      </c>
      <c r="B35" s="59">
        <v>297</v>
      </c>
      <c r="C35" s="59">
        <v>294</v>
      </c>
      <c r="D35" s="59">
        <v>3</v>
      </c>
      <c r="E35" s="63">
        <f>(D35/B35)*100</f>
        <v>1.0101010101010102</v>
      </c>
      <c r="F35" s="73">
        <f>(B35/238)*100-100</f>
        <v>24.78991596638656</v>
      </c>
      <c r="G35" s="55"/>
      <c r="H35" s="55"/>
      <c r="I35" s="55"/>
      <c r="J35" s="54"/>
      <c r="K35" s="54"/>
    </row>
    <row r="36" spans="1:11" s="6" customFormat="1" ht="24.75" customHeight="1">
      <c r="A36" s="5" t="s">
        <v>70</v>
      </c>
      <c r="B36" s="59">
        <v>1021</v>
      </c>
      <c r="C36" s="59">
        <v>389</v>
      </c>
      <c r="D36" s="59">
        <v>632</v>
      </c>
      <c r="E36" s="63">
        <f>(D36/B36)*100</f>
        <v>61.90009794319295</v>
      </c>
      <c r="F36" s="73">
        <f>(B36/1166)*100-100</f>
        <v>-12.43567753001716</v>
      </c>
      <c r="G36" s="55"/>
      <c r="H36" s="55"/>
      <c r="I36" s="55"/>
      <c r="J36" s="54"/>
      <c r="K36" s="54"/>
    </row>
    <row r="37" spans="1:11" ht="24.75" customHeight="1">
      <c r="A37" s="5" t="s">
        <v>36</v>
      </c>
      <c r="B37" s="31">
        <v>1943</v>
      </c>
      <c r="C37" s="31">
        <v>1674</v>
      </c>
      <c r="D37" s="31">
        <v>269</v>
      </c>
      <c r="E37" s="32">
        <v>13.8</v>
      </c>
      <c r="F37" s="73">
        <v>11.988472622478385</v>
      </c>
      <c r="G37" s="55"/>
      <c r="H37" s="55"/>
      <c r="I37" s="55"/>
      <c r="J37" s="54"/>
      <c r="K37" s="54"/>
    </row>
    <row r="38" spans="1:11" ht="24.75" customHeight="1">
      <c r="A38" s="5" t="s">
        <v>40</v>
      </c>
      <c r="B38" s="31">
        <v>1507</v>
      </c>
      <c r="C38" s="31">
        <v>823</v>
      </c>
      <c r="D38" s="31">
        <v>684</v>
      </c>
      <c r="E38" s="32">
        <v>45.4</v>
      </c>
      <c r="F38" s="73">
        <v>0.19946808510638298</v>
      </c>
      <c r="G38" s="55"/>
      <c r="H38" s="55"/>
      <c r="I38" s="55"/>
      <c r="J38" s="54"/>
      <c r="K38" s="54"/>
    </row>
    <row r="39" spans="1:11" ht="12.75" customHeight="1">
      <c r="A39" s="1" t="s">
        <v>3</v>
      </c>
      <c r="B39" s="31">
        <v>2801</v>
      </c>
      <c r="C39" s="31">
        <v>1769</v>
      </c>
      <c r="D39" s="31">
        <v>1032</v>
      </c>
      <c r="E39" s="32">
        <v>36.8</v>
      </c>
      <c r="F39" s="73">
        <v>-1.96568977841315</v>
      </c>
      <c r="G39" s="55"/>
      <c r="H39" s="55"/>
      <c r="I39" s="55"/>
      <c r="J39" s="54"/>
      <c r="K39" s="54"/>
    </row>
    <row r="40" spans="1:6" ht="3.75" customHeight="1">
      <c r="A40" s="17"/>
      <c r="B40" s="19">
        <v>2801</v>
      </c>
      <c r="C40" s="17">
        <v>1769</v>
      </c>
      <c r="D40" s="17">
        <v>1032</v>
      </c>
      <c r="E40" s="17">
        <v>36.843984291324524</v>
      </c>
      <c r="F40" s="17">
        <v>-1.96568977841315</v>
      </c>
    </row>
    <row r="42" ht="12.75" customHeight="1">
      <c r="A42" s="1" t="s">
        <v>71</v>
      </c>
    </row>
    <row r="44" spans="1:4" ht="12.75" customHeight="1">
      <c r="A44" s="11" t="s">
        <v>59</v>
      </c>
      <c r="D44" s="31"/>
    </row>
    <row r="45" spans="1:256" ht="12.75" customHeight="1">
      <c r="A45" s="36" t="s">
        <v>23</v>
      </c>
      <c r="D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 customHeight="1">
      <c r="A46" s="36" t="s">
        <v>60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7" ht="12.75" customHeight="1">
      <c r="A47" s="36" t="s">
        <v>61</v>
      </c>
      <c r="B47" s="36"/>
      <c r="C47" s="36"/>
      <c r="D47" s="36"/>
      <c r="E47" s="36"/>
      <c r="F47" s="36"/>
      <c r="G47" s="36"/>
    </row>
    <row r="48" ht="12.75" customHeight="1">
      <c r="A48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42.421875" style="1" customWidth="1"/>
    <col min="2" max="5" width="7.421875" style="1" customWidth="1"/>
    <col min="6" max="6" width="12.28125" style="1" customWidth="1"/>
    <col min="7" max="8" width="8.28125" style="1" customWidth="1"/>
    <col min="9" max="16384" width="11.421875" style="1" customWidth="1"/>
  </cols>
  <sheetData>
    <row r="1" spans="1:6" s="13" customFormat="1" ht="12.75" customHeight="1">
      <c r="A1" s="14" t="s">
        <v>26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11" ht="12.75" customHeight="1">
      <c r="A13" s="1" t="s">
        <v>53</v>
      </c>
      <c r="B13" s="31"/>
      <c r="C13" s="31"/>
      <c r="D13" s="31"/>
      <c r="E13" s="32"/>
      <c r="F13" s="35"/>
      <c r="G13" s="31"/>
      <c r="H13" s="31"/>
      <c r="I13" s="31"/>
      <c r="J13" s="39"/>
      <c r="K13" s="39"/>
    </row>
    <row r="14" spans="1:11" ht="12.75" customHeight="1">
      <c r="A14" s="3" t="s">
        <v>44</v>
      </c>
      <c r="B14" s="31">
        <v>17793</v>
      </c>
      <c r="C14" s="31">
        <v>8213</v>
      </c>
      <c r="D14" s="31">
        <v>9580</v>
      </c>
      <c r="E14" s="32">
        <f>(D14/B14)*100</f>
        <v>53.84139830270331</v>
      </c>
      <c r="F14" s="35">
        <f>(B14/15027)*100-100</f>
        <v>18.406867638251143</v>
      </c>
      <c r="J14" s="39"/>
      <c r="K14" s="39"/>
    </row>
    <row r="15" spans="1:6" ht="12.75" customHeight="1">
      <c r="A15" s="3" t="s">
        <v>4</v>
      </c>
      <c r="B15" s="31">
        <v>7289</v>
      </c>
      <c r="C15" s="31">
        <v>4654</v>
      </c>
      <c r="D15" s="31">
        <v>2635</v>
      </c>
      <c r="E15" s="32">
        <f>(D15/B15)*100</f>
        <v>36.15036356153107</v>
      </c>
      <c r="F15" s="35">
        <f>(B15/6475)*100-100</f>
        <v>12.57142857142857</v>
      </c>
    </row>
    <row r="16" spans="1:6" ht="12.75" customHeight="1">
      <c r="A16" s="58" t="s">
        <v>75</v>
      </c>
      <c r="B16" s="31">
        <v>708</v>
      </c>
      <c r="C16" s="31">
        <v>51</v>
      </c>
      <c r="D16" s="31">
        <v>657</v>
      </c>
      <c r="E16" s="32">
        <f aca="true" t="shared" si="0" ref="E16:E21">(D16/B16)*100</f>
        <v>92.79661016949152</v>
      </c>
      <c r="F16" s="35">
        <f>(B16/764)*100-100</f>
        <v>-7.329842931937165</v>
      </c>
    </row>
    <row r="17" spans="1:6" ht="12.75" customHeight="1">
      <c r="A17" s="3" t="s">
        <v>45</v>
      </c>
      <c r="B17" s="31">
        <v>51928</v>
      </c>
      <c r="C17" s="31">
        <v>29546</v>
      </c>
      <c r="D17" s="31">
        <v>22382</v>
      </c>
      <c r="E17" s="32">
        <f t="shared" si="0"/>
        <v>43.10198736712371</v>
      </c>
      <c r="F17" s="35">
        <f>(B17/50386)*100-100</f>
        <v>3.060373913388645</v>
      </c>
    </row>
    <row r="18" spans="1:6" ht="12.75" customHeight="1">
      <c r="A18" s="3" t="s">
        <v>42</v>
      </c>
      <c r="B18" s="31">
        <v>6086</v>
      </c>
      <c r="C18" s="31">
        <v>894</v>
      </c>
      <c r="D18" s="31">
        <v>5192</v>
      </c>
      <c r="E18" s="31">
        <f t="shared" si="0"/>
        <v>85.3105488005258</v>
      </c>
      <c r="F18" s="35">
        <f>(B18/5456)*100-100</f>
        <v>11.54692082111437</v>
      </c>
    </row>
    <row r="19" spans="1:6" ht="12.75" customHeight="1">
      <c r="A19" s="5" t="s">
        <v>5</v>
      </c>
      <c r="B19" s="31">
        <v>2320</v>
      </c>
      <c r="C19" s="31">
        <v>999</v>
      </c>
      <c r="D19" s="31">
        <v>1321</v>
      </c>
      <c r="E19" s="32">
        <f t="shared" si="0"/>
        <v>56.939655172413794</v>
      </c>
      <c r="F19" s="35">
        <f>(B19/2241)*100-100</f>
        <v>3.5252119589469117</v>
      </c>
    </row>
    <row r="20" spans="1:6" s="6" customFormat="1" ht="12.75" customHeight="1">
      <c r="A20" s="5" t="s">
        <v>34</v>
      </c>
      <c r="B20" s="31">
        <v>2101</v>
      </c>
      <c r="C20" s="31">
        <v>411</v>
      </c>
      <c r="D20" s="31">
        <v>1690</v>
      </c>
      <c r="E20" s="32">
        <f t="shared" si="0"/>
        <v>80.43788672060923</v>
      </c>
      <c r="F20" s="35">
        <f>(B20/1865)*100-100</f>
        <v>12.654155495978543</v>
      </c>
    </row>
    <row r="21" spans="1:6" s="6" customFormat="1" ht="12.75" customHeight="1">
      <c r="A21" s="3" t="s">
        <v>6</v>
      </c>
      <c r="B21" s="31">
        <v>2130</v>
      </c>
      <c r="C21" s="31">
        <v>1464</v>
      </c>
      <c r="D21" s="31">
        <v>666</v>
      </c>
      <c r="E21" s="32">
        <f t="shared" si="0"/>
        <v>31.26760563380282</v>
      </c>
      <c r="F21" s="35">
        <f>(B21/2081)*100-100</f>
        <v>2.354637193656899</v>
      </c>
    </row>
    <row r="22" spans="1:6" ht="12.75" customHeight="1">
      <c r="A22" s="1" t="s">
        <v>52</v>
      </c>
      <c r="B22" s="31"/>
      <c r="C22" s="31"/>
      <c r="D22" s="31"/>
      <c r="E22" s="32"/>
      <c r="F22" s="35"/>
    </row>
    <row r="23" spans="1:9" ht="12.75" customHeight="1">
      <c r="A23" s="3" t="s">
        <v>7</v>
      </c>
      <c r="B23" s="31"/>
      <c r="C23" s="31"/>
      <c r="D23" s="31"/>
      <c r="E23" s="32"/>
      <c r="F23" s="35"/>
      <c r="G23" s="31"/>
      <c r="H23" s="31"/>
      <c r="I23" s="31"/>
    </row>
    <row r="24" spans="1:9" ht="24.75" customHeight="1">
      <c r="A24" s="41" t="s">
        <v>27</v>
      </c>
      <c r="B24" s="81">
        <v>594</v>
      </c>
      <c r="C24" s="81">
        <v>227</v>
      </c>
      <c r="D24" s="81">
        <v>367</v>
      </c>
      <c r="E24" s="51">
        <v>61.784511784511785</v>
      </c>
      <c r="F24" s="83" t="s">
        <v>25</v>
      </c>
      <c r="G24" s="31"/>
      <c r="H24" s="31"/>
      <c r="I24" s="31"/>
    </row>
    <row r="25" spans="1:7" ht="12.75" customHeight="1">
      <c r="A25" s="7" t="s">
        <v>14</v>
      </c>
      <c r="B25" s="31">
        <v>3128</v>
      </c>
      <c r="C25" s="31">
        <v>2295</v>
      </c>
      <c r="D25" s="31">
        <v>833</v>
      </c>
      <c r="E25" s="32">
        <f>(D25/B25)*100</f>
        <v>26.6304347826087</v>
      </c>
      <c r="F25" s="35">
        <f>(B25/3249)*100-100</f>
        <v>-3.7242228377962476</v>
      </c>
      <c r="G25" s="31"/>
    </row>
    <row r="26" spans="1:6" s="8" customFormat="1" ht="12.75" customHeight="1">
      <c r="A26" s="7" t="s">
        <v>12</v>
      </c>
      <c r="B26" s="31">
        <v>2782</v>
      </c>
      <c r="C26" s="31">
        <v>2354</v>
      </c>
      <c r="D26" s="31">
        <v>428</v>
      </c>
      <c r="E26" s="32">
        <f>(D26/B26)*100</f>
        <v>15.384615384615385</v>
      </c>
      <c r="F26" s="35">
        <f>(B26/3316)*100-100</f>
        <v>-16.1037394451146</v>
      </c>
    </row>
    <row r="27" spans="1:6" s="10" customFormat="1" ht="12.75" customHeight="1">
      <c r="A27" s="7" t="s">
        <v>13</v>
      </c>
      <c r="B27" s="31">
        <v>9320</v>
      </c>
      <c r="C27" s="31">
        <v>6023</v>
      </c>
      <c r="D27" s="31">
        <v>3297</v>
      </c>
      <c r="E27" s="32">
        <f>(D27/B27)*100</f>
        <v>35.3755364806867</v>
      </c>
      <c r="F27" s="35">
        <f>(B27/8932)*100-100</f>
        <v>4.343931930138822</v>
      </c>
    </row>
    <row r="28" spans="1:6" s="8" customFormat="1" ht="12.75" customHeight="1">
      <c r="A28" s="41" t="s">
        <v>22</v>
      </c>
      <c r="B28" s="31">
        <v>7241</v>
      </c>
      <c r="C28" s="31">
        <v>3279</v>
      </c>
      <c r="D28" s="31">
        <v>3962</v>
      </c>
      <c r="E28" s="32">
        <f>(D28/B28)*100</f>
        <v>54.71619941996961</v>
      </c>
      <c r="F28" s="35">
        <f>(B28/7136)*100-100</f>
        <v>1.4714125560538065</v>
      </c>
    </row>
    <row r="29" spans="1:6" s="8" customFormat="1" ht="12.75" customHeight="1">
      <c r="A29" s="3" t="s">
        <v>35</v>
      </c>
      <c r="B29" s="31"/>
      <c r="C29" s="31"/>
      <c r="D29" s="31"/>
      <c r="E29" s="32"/>
      <c r="F29" s="35"/>
    </row>
    <row r="30" spans="1:6" s="10" customFormat="1" ht="24.75" customHeight="1">
      <c r="A30" s="78" t="s">
        <v>72</v>
      </c>
      <c r="B30" s="31">
        <v>3929</v>
      </c>
      <c r="C30" s="31">
        <v>3025</v>
      </c>
      <c r="D30" s="31">
        <v>904</v>
      </c>
      <c r="E30" s="32">
        <v>23</v>
      </c>
      <c r="F30" s="35" t="s">
        <v>25</v>
      </c>
    </row>
    <row r="31" spans="1:9" ht="12.75" customHeight="1">
      <c r="A31" s="9" t="s">
        <v>19</v>
      </c>
      <c r="B31" s="31">
        <v>9324</v>
      </c>
      <c r="C31" s="31">
        <v>5159</v>
      </c>
      <c r="D31" s="31">
        <v>4165</v>
      </c>
      <c r="E31" s="32">
        <v>44.7</v>
      </c>
      <c r="F31" s="35">
        <v>-2.6005221932114884</v>
      </c>
      <c r="G31" s="31"/>
      <c r="H31" s="31"/>
      <c r="I31" s="31"/>
    </row>
    <row r="32" spans="1:11" s="8" customFormat="1" ht="12.75" customHeight="1">
      <c r="A32" s="9" t="s">
        <v>30</v>
      </c>
      <c r="B32" s="31">
        <v>19</v>
      </c>
      <c r="C32" s="31">
        <v>2</v>
      </c>
      <c r="D32" s="31">
        <v>17</v>
      </c>
      <c r="E32" s="32">
        <v>89.5</v>
      </c>
      <c r="F32" s="35" t="s">
        <v>25</v>
      </c>
      <c r="G32" s="1"/>
      <c r="H32" s="1"/>
      <c r="I32" s="1"/>
      <c r="J32" s="1"/>
      <c r="K32" s="1"/>
    </row>
    <row r="33" spans="1:11" s="10" customFormat="1" ht="24.75" customHeight="1">
      <c r="A33" s="9" t="s">
        <v>15</v>
      </c>
      <c r="B33" s="31">
        <v>1279</v>
      </c>
      <c r="C33" s="31">
        <v>721</v>
      </c>
      <c r="D33" s="31">
        <v>549</v>
      </c>
      <c r="E33" s="32">
        <v>42.9</v>
      </c>
      <c r="F33" s="35">
        <v>4.578904333605887</v>
      </c>
      <c r="G33" s="6"/>
      <c r="H33" s="6"/>
      <c r="I33" s="6"/>
      <c r="J33" s="38"/>
      <c r="K33" s="38"/>
    </row>
    <row r="34" spans="1:11" s="10" customFormat="1" ht="24.75" customHeight="1">
      <c r="A34" s="9" t="s">
        <v>39</v>
      </c>
      <c r="B34" s="31">
        <v>946</v>
      </c>
      <c r="C34" s="31">
        <v>304</v>
      </c>
      <c r="D34" s="31">
        <v>641</v>
      </c>
      <c r="E34" s="32">
        <v>67.8</v>
      </c>
      <c r="F34" s="35">
        <v>-21.232306411323897</v>
      </c>
      <c r="G34" s="6"/>
      <c r="H34" s="6"/>
      <c r="I34" s="6"/>
      <c r="J34" s="38"/>
      <c r="K34" s="6"/>
    </row>
    <row r="35" spans="1:11" s="10" customFormat="1" ht="24.75" customHeight="1">
      <c r="A35" s="1" t="s">
        <v>8</v>
      </c>
      <c r="B35" s="31"/>
      <c r="C35" s="31"/>
      <c r="D35" s="31"/>
      <c r="E35" s="32"/>
      <c r="F35" s="35"/>
      <c r="G35" s="6"/>
      <c r="H35" s="6"/>
      <c r="I35" s="6"/>
      <c r="J35" s="38"/>
      <c r="K35" s="38"/>
    </row>
    <row r="36" spans="1:11" s="10" customFormat="1" ht="24.75" customHeight="1">
      <c r="A36" s="5" t="s">
        <v>20</v>
      </c>
      <c r="B36" s="31">
        <v>238</v>
      </c>
      <c r="C36" s="31">
        <v>202</v>
      </c>
      <c r="D36" s="31">
        <v>36</v>
      </c>
      <c r="E36" s="32">
        <f>(D36/B36)*100</f>
        <v>15.126050420168067</v>
      </c>
      <c r="F36" s="35">
        <f>(B36/142)*100-100</f>
        <v>67.6056338028169</v>
      </c>
      <c r="G36" s="6"/>
      <c r="H36" s="6"/>
      <c r="I36" s="6"/>
      <c r="J36" s="38"/>
      <c r="K36" s="38"/>
    </row>
    <row r="37" spans="1:9" ht="12.75" customHeight="1">
      <c r="A37" s="5" t="s">
        <v>70</v>
      </c>
      <c r="B37" s="31">
        <v>1166</v>
      </c>
      <c r="C37" s="31">
        <v>458</v>
      </c>
      <c r="D37" s="31">
        <v>708</v>
      </c>
      <c r="E37" s="32">
        <f>(D37/B37)*100</f>
        <v>60.720411663807894</v>
      </c>
      <c r="F37" s="35">
        <f>(B37/839)*100-100</f>
        <v>38.97497020262216</v>
      </c>
      <c r="G37" s="31"/>
      <c r="H37" s="31"/>
      <c r="I37" s="31"/>
    </row>
    <row r="38" spans="1:6" s="6" customFormat="1" ht="24.75" customHeight="1">
      <c r="A38" s="5" t="s">
        <v>36</v>
      </c>
      <c r="B38" s="31">
        <v>1735</v>
      </c>
      <c r="C38" s="31">
        <v>1546</v>
      </c>
      <c r="D38" s="31">
        <v>189</v>
      </c>
      <c r="E38" s="32">
        <v>10.9</v>
      </c>
      <c r="F38" s="35">
        <v>14.069690992767917</v>
      </c>
    </row>
    <row r="39" spans="1:6" s="6" customFormat="1" ht="24.75" customHeight="1">
      <c r="A39" s="5" t="s">
        <v>40</v>
      </c>
      <c r="B39" s="31">
        <v>1504</v>
      </c>
      <c r="C39" s="31">
        <v>810</v>
      </c>
      <c r="D39" s="31">
        <v>694</v>
      </c>
      <c r="E39" s="32">
        <v>46.1</v>
      </c>
      <c r="F39" s="35">
        <v>16.77018633540373</v>
      </c>
    </row>
    <row r="40" spans="1:11" ht="12.75" customHeight="1">
      <c r="A40" s="1" t="s">
        <v>3</v>
      </c>
      <c r="B40" s="31">
        <v>2859</v>
      </c>
      <c r="C40" s="31">
        <v>1879</v>
      </c>
      <c r="D40" s="31">
        <v>980</v>
      </c>
      <c r="E40" s="32">
        <v>34.3</v>
      </c>
      <c r="F40" s="35">
        <v>1.3</v>
      </c>
      <c r="J40" s="39"/>
      <c r="K40" s="39"/>
    </row>
    <row r="41" spans="1:6" ht="3.75" customHeight="1">
      <c r="A41" s="17"/>
      <c r="B41" s="19"/>
      <c r="C41" s="17"/>
      <c r="D41" s="17"/>
      <c r="E41" s="17"/>
      <c r="F41" s="17"/>
    </row>
    <row r="43" ht="12.75" customHeight="1">
      <c r="A43" s="1" t="s">
        <v>71</v>
      </c>
    </row>
    <row r="45" spans="1:4" ht="12.75" customHeight="1">
      <c r="A45" s="11" t="s">
        <v>59</v>
      </c>
      <c r="D45" s="31"/>
    </row>
    <row r="46" spans="1:256" ht="12.75" customHeight="1">
      <c r="A46" s="36" t="s">
        <v>23</v>
      </c>
      <c r="D46" s="3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 customHeight="1">
      <c r="A47" s="36" t="s">
        <v>60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7" ht="12.75" customHeight="1">
      <c r="A48" s="36" t="s">
        <v>61</v>
      </c>
      <c r="B48" s="36"/>
      <c r="C48" s="36"/>
      <c r="D48" s="36"/>
      <c r="E48" s="36"/>
      <c r="F48" s="36"/>
      <c r="G48" s="36"/>
    </row>
    <row r="49" ht="12.75" customHeight="1">
      <c r="A49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8.7109375" style="1" customWidth="1"/>
    <col min="2" max="5" width="7.421875" style="1" customWidth="1"/>
    <col min="6" max="6" width="12.28125" style="1" customWidth="1"/>
    <col min="7" max="8" width="8.28125" style="1" customWidth="1"/>
    <col min="9" max="16384" width="11.421875" style="1" customWidth="1"/>
  </cols>
  <sheetData>
    <row r="1" spans="1:6" s="13" customFormat="1" ht="12.75" customHeight="1">
      <c r="A1" s="14" t="s">
        <v>24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31"/>
      <c r="C13" s="31"/>
      <c r="D13" s="31"/>
      <c r="E13" s="32"/>
      <c r="F13" s="35"/>
    </row>
    <row r="14" spans="1:11" ht="12.75" customHeight="1">
      <c r="A14" s="3" t="s">
        <v>44</v>
      </c>
      <c r="B14" s="31">
        <v>15027</v>
      </c>
      <c r="C14" s="31">
        <v>6903</v>
      </c>
      <c r="D14" s="31">
        <v>8124</v>
      </c>
      <c r="E14" s="32">
        <f>(D14/B14)*100</f>
        <v>54.0626871631064</v>
      </c>
      <c r="F14" s="35">
        <f>(B14/14785)*100-100</f>
        <v>1.6367940480216419</v>
      </c>
      <c r="J14" s="39"/>
      <c r="K14" s="39"/>
    </row>
    <row r="15" spans="1:6" ht="12.75" customHeight="1">
      <c r="A15" s="3" t="s">
        <v>4</v>
      </c>
      <c r="B15" s="31">
        <v>6475</v>
      </c>
      <c r="C15" s="31">
        <v>4151</v>
      </c>
      <c r="D15" s="31">
        <v>2324</v>
      </c>
      <c r="E15" s="32">
        <f aca="true" t="shared" si="0" ref="E15:E28">(D15/B15)*100</f>
        <v>35.891891891891895</v>
      </c>
      <c r="F15" s="35">
        <f>(B15/6027)*100-100</f>
        <v>7.43321718931476</v>
      </c>
    </row>
    <row r="16" spans="1:6" ht="12.75" customHeight="1">
      <c r="A16" s="58" t="s">
        <v>75</v>
      </c>
      <c r="B16" s="31">
        <v>764</v>
      </c>
      <c r="C16" s="31">
        <v>82</v>
      </c>
      <c r="D16" s="31">
        <v>682</v>
      </c>
      <c r="E16" s="32">
        <f t="shared" si="0"/>
        <v>89.26701570680629</v>
      </c>
      <c r="F16" s="35">
        <f>(B16/832)*100-100</f>
        <v>-8.173076923076934</v>
      </c>
    </row>
    <row r="17" spans="1:6" ht="12.75" customHeight="1">
      <c r="A17" s="3" t="s">
        <v>45</v>
      </c>
      <c r="B17" s="31">
        <v>50386</v>
      </c>
      <c r="C17" s="31">
        <v>28973</v>
      </c>
      <c r="D17" s="31">
        <v>21413</v>
      </c>
      <c r="E17" s="32">
        <f t="shared" si="0"/>
        <v>42.49791608780217</v>
      </c>
      <c r="F17" s="35">
        <f>(B17/49166)*100-100</f>
        <v>2.481389578163771</v>
      </c>
    </row>
    <row r="18" spans="1:6" ht="12.75" customHeight="1">
      <c r="A18" s="3" t="s">
        <v>42</v>
      </c>
      <c r="B18" s="31">
        <v>5456</v>
      </c>
      <c r="C18" s="31">
        <v>789</v>
      </c>
      <c r="D18" s="31">
        <v>4667</v>
      </c>
      <c r="E18" s="32">
        <f t="shared" si="0"/>
        <v>85.53885630498533</v>
      </c>
      <c r="F18" s="35">
        <f>(B18/5771)*100-100</f>
        <v>-5.458326113325256</v>
      </c>
    </row>
    <row r="19" spans="1:6" ht="12.75" customHeight="1">
      <c r="A19" s="5" t="s">
        <v>5</v>
      </c>
      <c r="B19" s="31">
        <v>2241</v>
      </c>
      <c r="C19" s="31">
        <v>913</v>
      </c>
      <c r="D19" s="31">
        <v>1328</v>
      </c>
      <c r="E19" s="32">
        <f t="shared" si="0"/>
        <v>59.25925925925925</v>
      </c>
      <c r="F19" s="35">
        <f>(B19/2449)*100-100</f>
        <v>-8.493262556145368</v>
      </c>
    </row>
    <row r="20" spans="1:6" s="6" customFormat="1" ht="12.75" customHeight="1">
      <c r="A20" s="5" t="s">
        <v>34</v>
      </c>
      <c r="B20" s="31">
        <v>1865</v>
      </c>
      <c r="C20" s="31">
        <v>326</v>
      </c>
      <c r="D20" s="31">
        <v>1539</v>
      </c>
      <c r="E20" s="32">
        <f t="shared" si="0"/>
        <v>82.5201072386059</v>
      </c>
      <c r="F20" s="35">
        <f>(B20/1900)*100-100</f>
        <v>-1.8421052631578902</v>
      </c>
    </row>
    <row r="21" spans="1:6" s="6" customFormat="1" ht="12.75" customHeight="1">
      <c r="A21" s="3" t="s">
        <v>6</v>
      </c>
      <c r="B21" s="31">
        <v>2081</v>
      </c>
      <c r="C21" s="31">
        <v>1453</v>
      </c>
      <c r="D21" s="31">
        <v>628</v>
      </c>
      <c r="E21" s="32">
        <f t="shared" si="0"/>
        <v>30.177799135031236</v>
      </c>
      <c r="F21" s="35">
        <f>(B21/1936)*100-100</f>
        <v>7.489669421487605</v>
      </c>
    </row>
    <row r="22" spans="1:6" ht="12.75" customHeight="1">
      <c r="A22" s="1" t="s">
        <v>52</v>
      </c>
      <c r="B22" s="31"/>
      <c r="C22" s="31"/>
      <c r="D22" s="31"/>
      <c r="E22" s="32"/>
      <c r="F22" s="35"/>
    </row>
    <row r="23" spans="1:9" ht="12.75" customHeight="1">
      <c r="A23" s="3" t="s">
        <v>7</v>
      </c>
      <c r="B23" s="31"/>
      <c r="C23" s="31"/>
      <c r="D23" s="31"/>
      <c r="E23" s="32"/>
      <c r="F23" s="35"/>
      <c r="G23" s="31"/>
      <c r="H23" s="31"/>
      <c r="I23" s="31"/>
    </row>
    <row r="24" spans="1:6" ht="24.75" customHeight="1">
      <c r="A24" s="41" t="s">
        <v>27</v>
      </c>
      <c r="B24" s="81">
        <v>1083</v>
      </c>
      <c r="C24" s="81">
        <v>616</v>
      </c>
      <c r="D24" s="81">
        <v>467</v>
      </c>
      <c r="E24" s="51">
        <f t="shared" si="0"/>
        <v>43.12096029547553</v>
      </c>
      <c r="F24" s="83">
        <v>-74.43342776203966</v>
      </c>
    </row>
    <row r="25" spans="1:6" s="8" customFormat="1" ht="12.75" customHeight="1">
      <c r="A25" s="7" t="s">
        <v>14</v>
      </c>
      <c r="B25" s="31">
        <v>3249</v>
      </c>
      <c r="C25" s="31">
        <v>2414</v>
      </c>
      <c r="D25" s="31">
        <v>835</v>
      </c>
      <c r="E25" s="32">
        <f t="shared" si="0"/>
        <v>25.70021545090797</v>
      </c>
      <c r="F25" s="35">
        <f>(B25/3104)*100-100</f>
        <v>4.671391752577307</v>
      </c>
    </row>
    <row r="26" spans="1:6" s="10" customFormat="1" ht="12.75" customHeight="1">
      <c r="A26" s="7" t="s">
        <v>12</v>
      </c>
      <c r="B26" s="31">
        <v>3316</v>
      </c>
      <c r="C26" s="31">
        <v>2826</v>
      </c>
      <c r="D26" s="31">
        <v>490</v>
      </c>
      <c r="E26" s="32">
        <f t="shared" si="0"/>
        <v>14.77683956574186</v>
      </c>
      <c r="F26" s="35">
        <f>(B26/3217)*100-100</f>
        <v>3.0774013055641944</v>
      </c>
    </row>
    <row r="27" spans="1:6" s="8" customFormat="1" ht="12.75" customHeight="1">
      <c r="A27" s="7" t="s">
        <v>13</v>
      </c>
      <c r="B27" s="31">
        <v>8932</v>
      </c>
      <c r="C27" s="31">
        <v>5795</v>
      </c>
      <c r="D27" s="31">
        <v>3137</v>
      </c>
      <c r="E27" s="32">
        <f t="shared" si="0"/>
        <v>35.12091356918943</v>
      </c>
      <c r="F27" s="35">
        <f>(B27/8113)*100-100</f>
        <v>10.094909404659177</v>
      </c>
    </row>
    <row r="28" spans="1:6" s="8" customFormat="1" ht="24.75" customHeight="1">
      <c r="A28" s="41" t="s">
        <v>22</v>
      </c>
      <c r="B28" s="31">
        <v>7136</v>
      </c>
      <c r="C28" s="31">
        <v>3352</v>
      </c>
      <c r="D28" s="31">
        <v>3784</v>
      </c>
      <c r="E28" s="32">
        <f t="shared" si="0"/>
        <v>53.026905829596416</v>
      </c>
      <c r="F28" s="35">
        <f>(B28/6788)*100-100</f>
        <v>5.1266941661755965</v>
      </c>
    </row>
    <row r="29" spans="1:6" s="10" customFormat="1" ht="12.75" customHeight="1">
      <c r="A29" s="3" t="s">
        <v>35</v>
      </c>
      <c r="B29" s="31"/>
      <c r="C29" s="31"/>
      <c r="D29" s="31"/>
      <c r="E29" s="32"/>
      <c r="F29" s="35"/>
    </row>
    <row r="30" spans="1:9" ht="12.75" customHeight="1">
      <c r="A30" s="78" t="s">
        <v>72</v>
      </c>
      <c r="B30" s="31">
        <v>1988</v>
      </c>
      <c r="C30" s="31">
        <v>1648</v>
      </c>
      <c r="D30" s="31">
        <v>340</v>
      </c>
      <c r="E30" s="32">
        <v>17.1</v>
      </c>
      <c r="F30" s="35" t="s">
        <v>25</v>
      </c>
      <c r="G30" s="31"/>
      <c r="H30" s="31"/>
      <c r="I30" s="31"/>
    </row>
    <row r="31" spans="1:6" s="8" customFormat="1" ht="24.75" customHeight="1">
      <c r="A31" s="9" t="s">
        <v>19</v>
      </c>
      <c r="B31" s="31">
        <v>9575</v>
      </c>
      <c r="C31" s="31">
        <v>5384</v>
      </c>
      <c r="D31" s="31">
        <v>4191</v>
      </c>
      <c r="E31" s="32">
        <v>43.8</v>
      </c>
      <c r="F31" s="35">
        <v>5.428319753358291</v>
      </c>
    </row>
    <row r="32" spans="1:11" s="10" customFormat="1" ht="24.75" customHeight="1">
      <c r="A32" s="9" t="s">
        <v>15</v>
      </c>
      <c r="B32" s="31">
        <v>1223</v>
      </c>
      <c r="C32" s="31">
        <v>719</v>
      </c>
      <c r="D32" s="31">
        <v>504</v>
      </c>
      <c r="E32" s="32">
        <v>41.2</v>
      </c>
      <c r="F32" s="35">
        <v>3.0328559393428813</v>
      </c>
      <c r="K32" s="38"/>
    </row>
    <row r="33" spans="1:11" s="10" customFormat="1" ht="24.75" customHeight="1">
      <c r="A33" s="9" t="s">
        <v>39</v>
      </c>
      <c r="B33" s="31">
        <v>1201</v>
      </c>
      <c r="C33" s="31">
        <v>470</v>
      </c>
      <c r="D33" s="31">
        <v>731</v>
      </c>
      <c r="E33" s="32">
        <v>60.9</v>
      </c>
      <c r="F33" s="35">
        <v>8.393501805054152</v>
      </c>
      <c r="K33" s="38"/>
    </row>
    <row r="34" spans="1:9" ht="12.75" customHeight="1">
      <c r="A34" s="1" t="s">
        <v>8</v>
      </c>
      <c r="B34" s="31"/>
      <c r="C34" s="31"/>
      <c r="D34" s="31"/>
      <c r="E34" s="32"/>
      <c r="F34" s="32"/>
      <c r="H34" s="31"/>
      <c r="I34" s="31"/>
    </row>
    <row r="35" spans="1:6" s="6" customFormat="1" ht="24.75" customHeight="1">
      <c r="A35" s="5" t="s">
        <v>20</v>
      </c>
      <c r="B35" s="31">
        <v>142</v>
      </c>
      <c r="C35" s="31">
        <v>142</v>
      </c>
      <c r="D35" s="31">
        <v>0</v>
      </c>
      <c r="E35" s="32">
        <v>0</v>
      </c>
      <c r="F35" s="35">
        <f>(B35/203)*100-100</f>
        <v>-30.049261083743843</v>
      </c>
    </row>
    <row r="36" spans="1:6" s="6" customFormat="1" ht="24.75" customHeight="1">
      <c r="A36" s="5" t="s">
        <v>70</v>
      </c>
      <c r="B36" s="31">
        <v>839</v>
      </c>
      <c r="C36" s="31">
        <v>294</v>
      </c>
      <c r="D36" s="31">
        <v>545</v>
      </c>
      <c r="E36" s="32">
        <f>(D36/B36)*100</f>
        <v>64.95828367103695</v>
      </c>
      <c r="F36" s="35">
        <f>(B36/764)*100-100</f>
        <v>9.816753926701566</v>
      </c>
    </row>
    <row r="37" spans="1:11" ht="12.75" customHeight="1">
      <c r="A37" s="5" t="s">
        <v>36</v>
      </c>
      <c r="B37" s="31">
        <v>1521</v>
      </c>
      <c r="C37" s="31">
        <v>967</v>
      </c>
      <c r="D37" s="31">
        <v>121</v>
      </c>
      <c r="E37" s="32">
        <v>8</v>
      </c>
      <c r="F37" s="35" t="s">
        <v>25</v>
      </c>
      <c r="J37" s="39"/>
      <c r="K37" s="39"/>
    </row>
    <row r="38" spans="1:11" ht="12.75" customHeight="1">
      <c r="A38" s="5" t="s">
        <v>40</v>
      </c>
      <c r="B38" s="31">
        <v>1288</v>
      </c>
      <c r="C38" s="31">
        <v>701</v>
      </c>
      <c r="D38" s="31">
        <v>587</v>
      </c>
      <c r="E38" s="32">
        <v>45.6</v>
      </c>
      <c r="F38" s="35">
        <v>-3.5205992509363293</v>
      </c>
      <c r="J38" s="39"/>
      <c r="K38" s="39"/>
    </row>
    <row r="39" spans="1:11" ht="12.75" customHeight="1">
      <c r="A39" s="1" t="s">
        <v>3</v>
      </c>
      <c r="B39" s="31">
        <v>2822</v>
      </c>
      <c r="C39" s="31">
        <v>1846</v>
      </c>
      <c r="D39" s="31">
        <v>976</v>
      </c>
      <c r="E39" s="32">
        <v>34.6</v>
      </c>
      <c r="F39" s="35">
        <v>-0.7</v>
      </c>
      <c r="G39" s="6"/>
      <c r="H39" s="6"/>
      <c r="I39" s="6"/>
      <c r="J39" s="38"/>
      <c r="K39" s="38"/>
    </row>
    <row r="40" spans="1:6" ht="3.75" customHeight="1">
      <c r="A40" s="17"/>
      <c r="B40" s="19"/>
      <c r="C40" s="17"/>
      <c r="D40" s="17"/>
      <c r="E40" s="17"/>
      <c r="F40" s="17"/>
    </row>
    <row r="42" ht="12.75" customHeight="1">
      <c r="A42" s="1" t="s">
        <v>71</v>
      </c>
    </row>
    <row r="44" spans="1:4" ht="12.75" customHeight="1">
      <c r="A44" s="11" t="s">
        <v>59</v>
      </c>
      <c r="D44" s="31"/>
    </row>
    <row r="45" spans="1:256" ht="12.75" customHeight="1">
      <c r="A45" s="36" t="s">
        <v>23</v>
      </c>
      <c r="D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 customHeight="1">
      <c r="A46" s="36" t="s">
        <v>60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7" ht="12.75" customHeight="1">
      <c r="A47" s="36" t="s">
        <v>61</v>
      </c>
      <c r="B47" s="36"/>
      <c r="C47" s="36"/>
      <c r="D47" s="36"/>
      <c r="E47" s="36"/>
      <c r="F47" s="36"/>
      <c r="G47" s="36"/>
    </row>
    <row r="48" ht="12.75" customHeight="1">
      <c r="A48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zoomScalePageLayoutView="0" workbookViewId="0" topLeftCell="A1">
      <pane ySplit="10" topLeftCell="A11" activePane="bottomLeft" state="frozen"/>
      <selection pane="topLeft" activeCell="J38" sqref="J38"/>
      <selection pane="bottomLeft" activeCell="A34" sqref="A34"/>
    </sheetView>
  </sheetViews>
  <sheetFormatPr defaultColWidth="11.421875" defaultRowHeight="12.75" customHeight="1"/>
  <cols>
    <col min="1" max="1" width="41.140625" style="1" customWidth="1"/>
    <col min="2" max="5" width="7.421875" style="1" customWidth="1"/>
    <col min="6" max="6" width="12.28125" style="1" customWidth="1"/>
    <col min="7" max="9" width="8.28125" style="1" customWidth="1"/>
    <col min="10" max="16384" width="11.421875" style="1" customWidth="1"/>
  </cols>
  <sheetData>
    <row r="1" spans="1:6" s="13" customFormat="1" ht="12.75" customHeight="1">
      <c r="A1" s="14" t="s">
        <v>21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ht="3.75" customHeight="1"/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9" ht="12.75" customHeight="1">
      <c r="A13" s="1" t="s">
        <v>53</v>
      </c>
      <c r="B13" s="31"/>
      <c r="C13" s="31"/>
      <c r="D13" s="31"/>
      <c r="E13" s="32"/>
      <c r="F13" s="35"/>
      <c r="G13" s="31"/>
      <c r="H13" s="31"/>
      <c r="I13" s="31"/>
    </row>
    <row r="14" spans="1:10" ht="12.75" customHeight="1">
      <c r="A14" s="3" t="s">
        <v>44</v>
      </c>
      <c r="B14" s="31">
        <v>14785</v>
      </c>
      <c r="C14" s="31">
        <v>6985</v>
      </c>
      <c r="D14" s="31">
        <v>7800</v>
      </c>
      <c r="E14" s="31">
        <f>(D14/B14)*100</f>
        <v>52.75617179573893</v>
      </c>
      <c r="F14" s="35"/>
      <c r="G14" s="54"/>
      <c r="H14" s="55"/>
      <c r="I14" s="55"/>
      <c r="J14" s="39"/>
    </row>
    <row r="15" spans="1:6" ht="12.75" customHeight="1">
      <c r="A15" s="3" t="s">
        <v>4</v>
      </c>
      <c r="B15" s="31">
        <v>6027</v>
      </c>
      <c r="C15" s="31">
        <v>4009</v>
      </c>
      <c r="D15" s="31">
        <v>2018</v>
      </c>
      <c r="E15" s="31">
        <f aca="true" t="shared" si="0" ref="E15:E22">(D15/B15)*100</f>
        <v>33.482661357225815</v>
      </c>
      <c r="F15" s="35"/>
    </row>
    <row r="16" spans="1:6" ht="12.75" customHeight="1">
      <c r="A16" s="58" t="s">
        <v>75</v>
      </c>
      <c r="B16" s="31">
        <v>532</v>
      </c>
      <c r="C16" s="31">
        <v>84</v>
      </c>
      <c r="D16" s="31">
        <v>448</v>
      </c>
      <c r="E16" s="31">
        <f t="shared" si="0"/>
        <v>84.21052631578947</v>
      </c>
      <c r="F16" s="35"/>
    </row>
    <row r="17" spans="1:6" ht="12.75" customHeight="1">
      <c r="A17" s="58" t="s">
        <v>58</v>
      </c>
      <c r="B17" s="31">
        <v>832</v>
      </c>
      <c r="C17" s="31">
        <v>58</v>
      </c>
      <c r="D17" s="31">
        <v>774</v>
      </c>
      <c r="E17" s="31">
        <f t="shared" si="0"/>
        <v>93.02884615384616</v>
      </c>
      <c r="F17" s="35"/>
    </row>
    <row r="18" spans="1:7" ht="12.75" customHeight="1">
      <c r="A18" s="3" t="s">
        <v>45</v>
      </c>
      <c r="B18" s="31">
        <v>49166</v>
      </c>
      <c r="C18" s="31">
        <v>28158</v>
      </c>
      <c r="D18" s="31">
        <v>21008</v>
      </c>
      <c r="E18" s="31">
        <f t="shared" si="0"/>
        <v>42.72871496562665</v>
      </c>
      <c r="F18" s="35"/>
      <c r="G18" s="4"/>
    </row>
    <row r="19" spans="1:7" ht="12.75" customHeight="1">
      <c r="A19" s="3" t="s">
        <v>42</v>
      </c>
      <c r="B19" s="31">
        <v>5771</v>
      </c>
      <c r="C19" s="31">
        <v>829</v>
      </c>
      <c r="D19" s="31">
        <v>4942</v>
      </c>
      <c r="E19" s="31">
        <f t="shared" si="0"/>
        <v>85.63507191128053</v>
      </c>
      <c r="F19" s="35"/>
      <c r="G19" s="4"/>
    </row>
    <row r="20" spans="1:7" ht="12.75" customHeight="1">
      <c r="A20" s="5" t="s">
        <v>5</v>
      </c>
      <c r="B20" s="31">
        <v>2449</v>
      </c>
      <c r="C20" s="31">
        <v>971</v>
      </c>
      <c r="D20" s="31">
        <v>1478</v>
      </c>
      <c r="E20" s="31">
        <f t="shared" si="0"/>
        <v>60.35116374030216</v>
      </c>
      <c r="F20" s="35"/>
      <c r="G20" s="4"/>
    </row>
    <row r="21" spans="1:6" s="6" customFormat="1" ht="12.75" customHeight="1">
      <c r="A21" s="5" t="s">
        <v>34</v>
      </c>
      <c r="B21" s="31">
        <v>1900</v>
      </c>
      <c r="C21" s="31">
        <v>396</v>
      </c>
      <c r="D21" s="31">
        <v>1504</v>
      </c>
      <c r="E21" s="31">
        <f t="shared" si="0"/>
        <v>79.15789473684211</v>
      </c>
      <c r="F21" s="35"/>
    </row>
    <row r="22" spans="1:6" s="6" customFormat="1" ht="12.75" customHeight="1">
      <c r="A22" s="3" t="s">
        <v>6</v>
      </c>
      <c r="B22" s="31">
        <v>1936</v>
      </c>
      <c r="C22" s="31">
        <v>1332</v>
      </c>
      <c r="D22" s="31">
        <v>604</v>
      </c>
      <c r="E22" s="31">
        <f t="shared" si="0"/>
        <v>31.198347107438018</v>
      </c>
      <c r="F22" s="35"/>
    </row>
    <row r="23" spans="1:7" ht="12.75" customHeight="1">
      <c r="A23" s="1" t="s">
        <v>52</v>
      </c>
      <c r="B23" s="31"/>
      <c r="C23" s="31"/>
      <c r="D23" s="31"/>
      <c r="E23" s="32"/>
      <c r="F23" s="35"/>
      <c r="G23" s="4"/>
    </row>
    <row r="24" spans="1:9" ht="12.75" customHeight="1">
      <c r="A24" s="3" t="s">
        <v>7</v>
      </c>
      <c r="B24" s="31"/>
      <c r="C24" s="31"/>
      <c r="D24" s="31"/>
      <c r="E24" s="32"/>
      <c r="F24" s="35"/>
      <c r="G24" s="31"/>
      <c r="H24" s="31"/>
      <c r="I24" s="31"/>
    </row>
    <row r="25" spans="1:6" ht="24.75" customHeight="1">
      <c r="A25" s="41" t="s">
        <v>27</v>
      </c>
      <c r="B25" s="81">
        <v>4236</v>
      </c>
      <c r="C25" s="81">
        <v>3297</v>
      </c>
      <c r="D25" s="81">
        <v>939</v>
      </c>
      <c r="E25" s="51">
        <v>22.1671388101983</v>
      </c>
      <c r="F25" s="35"/>
    </row>
    <row r="26" spans="1:6" s="8" customFormat="1" ht="12.75" customHeight="1">
      <c r="A26" s="7" t="s">
        <v>14</v>
      </c>
      <c r="B26" s="31">
        <v>3104</v>
      </c>
      <c r="C26" s="31">
        <v>2354</v>
      </c>
      <c r="D26" s="31">
        <v>750</v>
      </c>
      <c r="E26" s="32">
        <f>(D26/B26)*100</f>
        <v>24.162371134020617</v>
      </c>
      <c r="F26" s="35"/>
    </row>
    <row r="27" spans="1:6" s="10" customFormat="1" ht="12" customHeight="1">
      <c r="A27" s="7" t="s">
        <v>12</v>
      </c>
      <c r="B27" s="31">
        <v>3217</v>
      </c>
      <c r="C27" s="31">
        <v>2720</v>
      </c>
      <c r="D27" s="31">
        <v>497</v>
      </c>
      <c r="E27" s="32">
        <f>(D27/B27)*100</f>
        <v>15.449176251165683</v>
      </c>
      <c r="F27" s="35"/>
    </row>
    <row r="28" spans="1:6" s="8" customFormat="1" ht="12.75" customHeight="1">
      <c r="A28" s="7" t="s">
        <v>13</v>
      </c>
      <c r="B28" s="31">
        <v>8113</v>
      </c>
      <c r="C28" s="31">
        <v>5574</v>
      </c>
      <c r="D28" s="31">
        <v>2539</v>
      </c>
      <c r="E28" s="32">
        <f>(D28/B28)*100</f>
        <v>31.295451744114384</v>
      </c>
      <c r="F28" s="35"/>
    </row>
    <row r="29" spans="1:6" s="8" customFormat="1" ht="24.75" customHeight="1">
      <c r="A29" s="41" t="s">
        <v>22</v>
      </c>
      <c r="B29" s="31">
        <v>6788</v>
      </c>
      <c r="C29" s="31">
        <v>3022</v>
      </c>
      <c r="D29" s="31">
        <v>3766</v>
      </c>
      <c r="E29" s="32">
        <f>(D29/B29)*100</f>
        <v>55.480259281084265</v>
      </c>
      <c r="F29" s="35"/>
    </row>
    <row r="30" spans="1:6" s="10" customFormat="1" ht="12.75" customHeight="1">
      <c r="A30" s="3" t="s">
        <v>35</v>
      </c>
      <c r="B30" s="31"/>
      <c r="C30" s="31"/>
      <c r="D30" s="31"/>
      <c r="E30" s="32"/>
      <c r="F30" s="35"/>
    </row>
    <row r="31" spans="1:9" ht="12.75" customHeight="1">
      <c r="A31" s="78" t="s">
        <v>72</v>
      </c>
      <c r="B31" s="31"/>
      <c r="C31" s="31"/>
      <c r="D31" s="31"/>
      <c r="E31" s="32"/>
      <c r="F31" s="35"/>
      <c r="G31" s="31"/>
      <c r="H31" s="31"/>
      <c r="I31" s="31"/>
    </row>
    <row r="32" spans="1:11" s="8" customFormat="1" ht="12.75" customHeight="1">
      <c r="A32" s="9" t="s">
        <v>19</v>
      </c>
      <c r="B32" s="31">
        <v>9082</v>
      </c>
      <c r="C32" s="31">
        <v>5180</v>
      </c>
      <c r="D32" s="31">
        <v>3902</v>
      </c>
      <c r="E32" s="32">
        <v>43</v>
      </c>
      <c r="F32" s="35"/>
      <c r="G32" s="1"/>
      <c r="H32" s="40"/>
      <c r="I32" s="40"/>
      <c r="J32" s="40"/>
      <c r="K32" s="40"/>
    </row>
    <row r="33" spans="1:11" s="10" customFormat="1" ht="24.75" customHeight="1">
      <c r="A33" s="9" t="s">
        <v>15</v>
      </c>
      <c r="B33" s="31">
        <v>1187</v>
      </c>
      <c r="C33" s="31">
        <v>694</v>
      </c>
      <c r="D33" s="31">
        <v>493</v>
      </c>
      <c r="E33" s="32">
        <v>41.5</v>
      </c>
      <c r="F33" s="35"/>
      <c r="G33" s="6"/>
      <c r="H33" s="6"/>
      <c r="I33" s="6"/>
      <c r="J33" s="38"/>
      <c r="K33" s="38"/>
    </row>
    <row r="34" spans="1:11" s="10" customFormat="1" ht="24.75" customHeight="1">
      <c r="A34" s="9" t="s">
        <v>39</v>
      </c>
      <c r="B34" s="31">
        <v>1108</v>
      </c>
      <c r="C34" s="31">
        <v>430</v>
      </c>
      <c r="D34" s="31">
        <v>678</v>
      </c>
      <c r="E34" s="32">
        <v>61.2</v>
      </c>
      <c r="F34" s="35"/>
      <c r="G34" s="6"/>
      <c r="H34" s="6"/>
      <c r="I34" s="6"/>
      <c r="J34" s="38"/>
      <c r="K34" s="38"/>
    </row>
    <row r="35" spans="1:11" s="10" customFormat="1" ht="12.75" customHeight="1">
      <c r="A35" s="1" t="s">
        <v>8</v>
      </c>
      <c r="B35" s="31"/>
      <c r="C35" s="31"/>
      <c r="D35" s="31"/>
      <c r="E35" s="32"/>
      <c r="F35" s="35"/>
      <c r="G35" s="6"/>
      <c r="H35" s="6"/>
      <c r="I35" s="6"/>
      <c r="J35" s="38"/>
      <c r="K35" s="38"/>
    </row>
    <row r="36" spans="1:9" ht="12.75" customHeight="1">
      <c r="A36" s="5" t="s">
        <v>20</v>
      </c>
      <c r="B36" s="31">
        <v>203</v>
      </c>
      <c r="C36" s="31">
        <v>187</v>
      </c>
      <c r="D36" s="31">
        <v>16</v>
      </c>
      <c r="E36" s="32">
        <f>(D36/B36)*100</f>
        <v>7.8817733990147785</v>
      </c>
      <c r="F36" s="35"/>
      <c r="G36" s="31"/>
      <c r="H36" s="31"/>
      <c r="I36" s="31"/>
    </row>
    <row r="37" spans="1:6" s="6" customFormat="1" ht="24.75" customHeight="1">
      <c r="A37" s="5" t="s">
        <v>70</v>
      </c>
      <c r="B37" s="31">
        <v>764</v>
      </c>
      <c r="C37" s="31">
        <v>293</v>
      </c>
      <c r="D37" s="31">
        <v>471</v>
      </c>
      <c r="E37" s="32">
        <f>(D37/B37)*100</f>
        <v>61.64921465968587</v>
      </c>
      <c r="F37" s="35"/>
    </row>
    <row r="38" spans="1:6" s="6" customFormat="1" ht="24.75" customHeight="1">
      <c r="A38" s="5" t="s">
        <v>74</v>
      </c>
      <c r="B38" s="31">
        <v>1670</v>
      </c>
      <c r="C38" s="31">
        <v>1447</v>
      </c>
      <c r="D38" s="31">
        <v>223</v>
      </c>
      <c r="E38" s="32">
        <v>13.353293413173652</v>
      </c>
      <c r="F38" s="35"/>
    </row>
    <row r="39" spans="1:11" ht="24.75" customHeight="1">
      <c r="A39" s="5" t="s">
        <v>40</v>
      </c>
      <c r="B39" s="31">
        <v>1335</v>
      </c>
      <c r="C39" s="31">
        <v>757</v>
      </c>
      <c r="D39" s="31">
        <v>578</v>
      </c>
      <c r="E39" s="32">
        <v>43.3</v>
      </c>
      <c r="F39" s="35"/>
      <c r="G39" s="4"/>
      <c r="J39" s="39"/>
      <c r="K39" s="39"/>
    </row>
    <row r="40" spans="1:11" ht="12.75" customHeight="1">
      <c r="A40" s="1" t="s">
        <v>3</v>
      </c>
      <c r="B40" s="31">
        <v>2842</v>
      </c>
      <c r="C40" s="31">
        <v>1938</v>
      </c>
      <c r="D40" s="31">
        <v>904</v>
      </c>
      <c r="E40" s="32">
        <v>31.8</v>
      </c>
      <c r="F40" s="35"/>
      <c r="G40" s="4"/>
      <c r="J40" s="39"/>
      <c r="K40" s="39"/>
    </row>
    <row r="41" spans="1:6" ht="3.75" customHeight="1">
      <c r="A41" s="17"/>
      <c r="B41" s="19"/>
      <c r="C41" s="17"/>
      <c r="D41" s="17"/>
      <c r="E41" s="17"/>
      <c r="F41" s="17"/>
    </row>
    <row r="42" ht="12.75" customHeight="1">
      <c r="A42" s="1" t="s">
        <v>73</v>
      </c>
    </row>
    <row r="44" ht="12.75" customHeight="1">
      <c r="A44" s="1" t="s">
        <v>71</v>
      </c>
    </row>
    <row r="46" spans="1:4" ht="12.75" customHeight="1">
      <c r="A46" s="11" t="s">
        <v>59</v>
      </c>
      <c r="D46" s="31"/>
    </row>
    <row r="47" spans="1:256" ht="12.75" customHeight="1">
      <c r="A47" s="36" t="s">
        <v>23</v>
      </c>
      <c r="D47" s="3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 customHeight="1">
      <c r="A48" s="36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7" ht="12.75" customHeight="1">
      <c r="A49" s="36" t="s">
        <v>61</v>
      </c>
      <c r="B49" s="36"/>
      <c r="C49" s="36"/>
      <c r="D49" s="36"/>
      <c r="E49" s="36"/>
      <c r="F49" s="36"/>
      <c r="G49" s="36"/>
    </row>
    <row r="50" ht="12.75" customHeight="1">
      <c r="A50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64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s="13" customFormat="1" ht="3.75" customHeight="1">
      <c r="B3" s="24"/>
      <c r="F3" s="24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2"/>
      <c r="F13" s="35"/>
    </row>
    <row r="14" spans="1:15" ht="12.75" customHeight="1">
      <c r="A14" s="3" t="s">
        <v>44</v>
      </c>
      <c r="B14" s="71">
        <v>18438</v>
      </c>
      <c r="C14" s="59">
        <v>7933</v>
      </c>
      <c r="D14" s="71">
        <v>10505</v>
      </c>
      <c r="E14" s="72">
        <v>56.974726109122464</v>
      </c>
      <c r="F14" s="72">
        <v>1.2131525498161153</v>
      </c>
      <c r="G14" s="60"/>
      <c r="H14" s="60"/>
      <c r="I14" s="60"/>
      <c r="J14" s="61"/>
      <c r="K14" s="61"/>
      <c r="L14" s="60"/>
      <c r="M14" s="60"/>
      <c r="N14" s="60"/>
      <c r="O14" s="60"/>
    </row>
    <row r="15" spans="1:15" ht="12.75" customHeight="1">
      <c r="A15" s="3" t="s">
        <v>4</v>
      </c>
      <c r="B15" s="62">
        <v>14222</v>
      </c>
      <c r="C15" s="62">
        <v>7518</v>
      </c>
      <c r="D15" s="62">
        <v>6704</v>
      </c>
      <c r="E15" s="72">
        <v>47.13823653494586</v>
      </c>
      <c r="F15" s="72">
        <v>2.685920577617324</v>
      </c>
      <c r="G15" s="63"/>
      <c r="H15" s="60"/>
      <c r="I15" s="60"/>
      <c r="J15" s="60"/>
      <c r="K15" s="60"/>
      <c r="L15" s="60"/>
      <c r="M15" s="60"/>
      <c r="N15" s="60"/>
      <c r="O15" s="60"/>
    </row>
    <row r="16" spans="1:15" ht="12.75" customHeight="1">
      <c r="A16" s="3" t="s">
        <v>51</v>
      </c>
      <c r="B16" s="62">
        <v>2340</v>
      </c>
      <c r="C16" s="62">
        <v>446</v>
      </c>
      <c r="D16" s="62">
        <v>1894</v>
      </c>
      <c r="E16" s="72">
        <v>80.94017094017094</v>
      </c>
      <c r="F16" s="72">
        <v>3.356890459363953</v>
      </c>
      <c r="G16" s="63"/>
      <c r="H16" s="60"/>
      <c r="I16" s="60"/>
      <c r="J16" s="60"/>
      <c r="K16" s="60"/>
      <c r="L16" s="60"/>
      <c r="M16" s="60"/>
      <c r="N16" s="60"/>
      <c r="O16" s="60"/>
    </row>
    <row r="17" spans="1:15" ht="12.75" customHeight="1">
      <c r="A17" s="3" t="s">
        <v>57</v>
      </c>
      <c r="B17" s="62">
        <v>752</v>
      </c>
      <c r="C17" s="62">
        <v>426</v>
      </c>
      <c r="D17" s="62">
        <v>326</v>
      </c>
      <c r="E17" s="72">
        <v>43.351063829787236</v>
      </c>
      <c r="F17" s="72">
        <v>5.915492957746466</v>
      </c>
      <c r="G17" s="63"/>
      <c r="H17" s="60"/>
      <c r="I17" s="60"/>
      <c r="J17" s="60"/>
      <c r="K17" s="60"/>
      <c r="L17" s="60"/>
      <c r="M17" s="60"/>
      <c r="N17" s="60"/>
      <c r="O17" s="60"/>
    </row>
    <row r="18" spans="1:15" ht="12.75" customHeight="1">
      <c r="A18" s="58" t="s">
        <v>58</v>
      </c>
      <c r="B18" s="62">
        <v>607</v>
      </c>
      <c r="C18" s="62">
        <v>285</v>
      </c>
      <c r="D18" s="62">
        <v>322</v>
      </c>
      <c r="E18" s="72">
        <v>53.047775947281714</v>
      </c>
      <c r="F18" s="72">
        <v>0.16501650165017168</v>
      </c>
      <c r="G18" s="63"/>
      <c r="H18" s="60"/>
      <c r="I18" s="60"/>
      <c r="J18" s="60"/>
      <c r="K18" s="60"/>
      <c r="L18" s="60"/>
      <c r="M18" s="60"/>
      <c r="N18" s="60"/>
      <c r="O18" s="60"/>
    </row>
    <row r="19" spans="1:15" ht="12.75" customHeight="1">
      <c r="A19" s="3" t="s">
        <v>45</v>
      </c>
      <c r="B19" s="62">
        <v>61128</v>
      </c>
      <c r="C19" s="62">
        <v>33354</v>
      </c>
      <c r="D19" s="62">
        <v>27774</v>
      </c>
      <c r="E19" s="72">
        <v>45.43580683156655</v>
      </c>
      <c r="F19" s="72">
        <v>0.4519086980099445</v>
      </c>
      <c r="G19" s="63"/>
      <c r="H19" s="60"/>
      <c r="I19" s="60"/>
      <c r="J19" s="60"/>
      <c r="K19" s="60"/>
      <c r="L19" s="60"/>
      <c r="M19" s="60"/>
      <c r="N19" s="60"/>
      <c r="O19" s="60"/>
    </row>
    <row r="20" spans="1:15" ht="12.75" customHeight="1">
      <c r="A20" s="3" t="s">
        <v>46</v>
      </c>
      <c r="B20" s="62">
        <v>5870</v>
      </c>
      <c r="C20" s="62">
        <v>3094</v>
      </c>
      <c r="D20" s="62">
        <v>2776</v>
      </c>
      <c r="E20" s="72">
        <v>47.29131175468484</v>
      </c>
      <c r="F20" s="72">
        <v>17.8714859437751</v>
      </c>
      <c r="G20" s="63"/>
      <c r="H20" s="60"/>
      <c r="I20" s="60"/>
      <c r="J20" s="60"/>
      <c r="K20" s="60"/>
      <c r="L20" s="60"/>
      <c r="M20" s="60"/>
      <c r="N20" s="60"/>
      <c r="O20" s="60"/>
    </row>
    <row r="21" spans="1:15" s="6" customFormat="1" ht="12.75" customHeight="1">
      <c r="A21" s="3" t="s">
        <v>42</v>
      </c>
      <c r="B21" s="62">
        <v>100</v>
      </c>
      <c r="C21" s="62">
        <v>28</v>
      </c>
      <c r="D21" s="62">
        <v>72</v>
      </c>
      <c r="E21" s="72">
        <v>72</v>
      </c>
      <c r="F21" s="72">
        <v>-13</v>
      </c>
      <c r="G21" s="63"/>
      <c r="H21" s="64"/>
      <c r="I21" s="64"/>
      <c r="J21" s="64"/>
      <c r="K21" s="64"/>
      <c r="L21" s="64"/>
      <c r="M21" s="64"/>
      <c r="N21" s="64"/>
      <c r="O21" s="64"/>
    </row>
    <row r="22" spans="1:16" s="6" customFormat="1" ht="12.75" customHeight="1">
      <c r="A22" s="5" t="s">
        <v>69</v>
      </c>
      <c r="B22" s="62">
        <v>180</v>
      </c>
      <c r="C22" s="62">
        <v>103</v>
      </c>
      <c r="D22" s="62">
        <v>77</v>
      </c>
      <c r="E22" s="72">
        <v>42.77777777777778</v>
      </c>
      <c r="F22" s="72">
        <v>-92.01065246338216</v>
      </c>
      <c r="G22" s="63"/>
      <c r="H22" s="64"/>
      <c r="I22" s="60"/>
      <c r="J22" s="60"/>
      <c r="K22" s="60"/>
      <c r="L22" s="60"/>
      <c r="M22" s="60"/>
      <c r="N22" s="60"/>
      <c r="O22" s="60"/>
      <c r="P22" s="1"/>
    </row>
    <row r="23" spans="1:15" ht="12.75">
      <c r="A23" s="42" t="s">
        <v>41</v>
      </c>
      <c r="B23" s="62">
        <v>3861</v>
      </c>
      <c r="C23" s="62">
        <v>894</v>
      </c>
      <c r="D23" s="62">
        <v>2967</v>
      </c>
      <c r="E23" s="72">
        <v>76.84537684537685</v>
      </c>
      <c r="F23" s="72">
        <v>12.729927007299267</v>
      </c>
      <c r="G23" s="63"/>
      <c r="H23" s="60"/>
      <c r="I23" s="60"/>
      <c r="J23" s="60"/>
      <c r="K23" s="60"/>
      <c r="L23" s="60"/>
      <c r="M23" s="60"/>
      <c r="N23" s="60"/>
      <c r="O23" s="60"/>
    </row>
    <row r="24" spans="1:15" s="2" customFormat="1" ht="12.75" customHeight="1">
      <c r="A24" s="3" t="s">
        <v>6</v>
      </c>
      <c r="B24" s="62">
        <v>374</v>
      </c>
      <c r="C24" s="62">
        <v>318</v>
      </c>
      <c r="D24" s="62">
        <v>56</v>
      </c>
      <c r="E24" s="72">
        <v>14.973262032085561</v>
      </c>
      <c r="F24" s="72">
        <v>-50.13333333333333</v>
      </c>
      <c r="G24" s="63"/>
      <c r="H24" s="60"/>
      <c r="I24" s="60"/>
      <c r="J24" s="60"/>
      <c r="K24" s="60"/>
      <c r="L24" s="60"/>
      <c r="M24" s="65"/>
      <c r="N24" s="65"/>
      <c r="O24" s="65"/>
    </row>
    <row r="25" spans="1:15" ht="12.75" customHeight="1">
      <c r="A25" s="1" t="s">
        <v>52</v>
      </c>
      <c r="B25" s="62"/>
      <c r="C25" s="62"/>
      <c r="D25" s="62"/>
      <c r="E25" s="72"/>
      <c r="F25" s="72"/>
      <c r="G25" s="60"/>
      <c r="H25" s="60"/>
      <c r="I25" s="60"/>
      <c r="J25" s="60"/>
      <c r="K25" s="60"/>
      <c r="L25" s="60"/>
      <c r="M25" s="60"/>
      <c r="N25" s="60"/>
      <c r="O25" s="60"/>
    </row>
    <row r="26" spans="1:16" s="10" customFormat="1" ht="12.75" customHeight="1">
      <c r="A26" s="3" t="s">
        <v>7</v>
      </c>
      <c r="B26" s="62"/>
      <c r="C26" s="62"/>
      <c r="D26" s="62"/>
      <c r="E26" s="72"/>
      <c r="F26" s="72"/>
      <c r="G26" s="59"/>
      <c r="H26" s="60"/>
      <c r="I26" s="60"/>
      <c r="J26" s="60"/>
      <c r="K26" s="60"/>
      <c r="L26" s="60"/>
      <c r="M26" s="66"/>
      <c r="N26" s="66"/>
      <c r="O26" s="66"/>
      <c r="P26" s="8"/>
    </row>
    <row r="27" spans="1:15" s="8" customFormat="1" ht="12.75" customHeight="1">
      <c r="A27" s="7" t="s">
        <v>14</v>
      </c>
      <c r="B27" s="62">
        <v>8106</v>
      </c>
      <c r="C27" s="62">
        <v>4177</v>
      </c>
      <c r="D27" s="62">
        <v>3929</v>
      </c>
      <c r="E27" s="72">
        <f>(D27/B27)*100</f>
        <v>48.47026893659018</v>
      </c>
      <c r="F27" s="72">
        <f>(B27/7611)*100-100</f>
        <v>6.503744580212853</v>
      </c>
      <c r="G27" s="60"/>
      <c r="H27" s="44"/>
      <c r="I27" s="60"/>
      <c r="J27" s="60"/>
      <c r="K27" s="60"/>
      <c r="L27" s="60"/>
      <c r="M27" s="66"/>
      <c r="N27" s="66"/>
      <c r="O27" s="66"/>
    </row>
    <row r="28" spans="1:15" s="8" customFormat="1" ht="12.75" customHeight="1">
      <c r="A28" s="7" t="s">
        <v>12</v>
      </c>
      <c r="B28" s="62">
        <v>2635</v>
      </c>
      <c r="C28" s="62">
        <v>1978</v>
      </c>
      <c r="D28" s="62">
        <v>657</v>
      </c>
      <c r="E28" s="72">
        <f>(D28/B28)*100</f>
        <v>24.93358633776091</v>
      </c>
      <c r="F28" s="72">
        <f>(B28/2786)*100-100</f>
        <v>-5.419956927494624</v>
      </c>
      <c r="G28" s="60"/>
      <c r="H28" s="44"/>
      <c r="I28" s="60"/>
      <c r="J28" s="60"/>
      <c r="K28" s="60"/>
      <c r="L28" s="60"/>
      <c r="M28" s="66"/>
      <c r="N28" s="66"/>
      <c r="O28" s="66"/>
    </row>
    <row r="29" spans="1:16" s="10" customFormat="1" ht="15.75" customHeight="1">
      <c r="A29" s="7" t="s">
        <v>13</v>
      </c>
      <c r="B29" s="62">
        <v>14537</v>
      </c>
      <c r="C29" s="62">
        <v>9065</v>
      </c>
      <c r="D29" s="62">
        <v>5472</v>
      </c>
      <c r="E29" s="72">
        <f>(D29/B29)*100</f>
        <v>37.64187934236775</v>
      </c>
      <c r="F29" s="72">
        <f>(B29/14041)*100-100</f>
        <v>3.5325119293497522</v>
      </c>
      <c r="G29" s="60"/>
      <c r="H29" s="44"/>
      <c r="I29" s="60"/>
      <c r="J29" s="60"/>
      <c r="K29" s="60"/>
      <c r="L29" s="60"/>
      <c r="M29" s="66"/>
      <c r="N29" s="66"/>
      <c r="O29" s="66"/>
      <c r="P29" s="8"/>
    </row>
    <row r="30" spans="1:15" ht="25.5">
      <c r="A30" s="41" t="s">
        <v>22</v>
      </c>
      <c r="B30" s="62">
        <v>1776</v>
      </c>
      <c r="C30" s="62">
        <v>659</v>
      </c>
      <c r="D30" s="62">
        <v>1117</v>
      </c>
      <c r="E30" s="72">
        <f>(D30/B30)*100</f>
        <v>62.89414414414415</v>
      </c>
      <c r="F30" s="72">
        <f>(B30/2051)*100-100</f>
        <v>-13.408093612871781</v>
      </c>
      <c r="G30" s="60"/>
      <c r="H30" s="44"/>
      <c r="I30" s="60"/>
      <c r="J30" s="60"/>
      <c r="K30" s="60"/>
      <c r="L30" s="60"/>
      <c r="M30" s="60"/>
      <c r="N30" s="60"/>
      <c r="O30" s="60"/>
    </row>
    <row r="31" spans="1:15" s="8" customFormat="1" ht="12.75" customHeight="1">
      <c r="A31" s="3" t="s">
        <v>35</v>
      </c>
      <c r="B31" s="74"/>
      <c r="C31" s="74"/>
      <c r="D31" s="74"/>
      <c r="E31" s="72"/>
      <c r="F31" s="72"/>
      <c r="G31" s="67"/>
      <c r="H31" s="44"/>
      <c r="I31" s="68"/>
      <c r="J31" s="68"/>
      <c r="K31" s="69"/>
      <c r="L31" s="69"/>
      <c r="M31" s="66"/>
      <c r="N31" s="66"/>
      <c r="O31" s="66"/>
    </row>
    <row r="32" spans="1:16" s="10" customFormat="1" ht="25.5">
      <c r="A32" s="78" t="s">
        <v>66</v>
      </c>
      <c r="B32" s="62">
        <v>1093</v>
      </c>
      <c r="C32" s="62">
        <v>567</v>
      </c>
      <c r="D32" s="62">
        <v>526</v>
      </c>
      <c r="E32" s="63">
        <v>48.1</v>
      </c>
      <c r="F32" s="63">
        <v>23.4</v>
      </c>
      <c r="G32" s="67"/>
      <c r="H32" s="44"/>
      <c r="I32" s="67"/>
      <c r="J32" s="70"/>
      <c r="K32" s="70"/>
      <c r="L32" s="70"/>
      <c r="M32" s="70"/>
      <c r="N32" s="66"/>
      <c r="O32" s="66"/>
      <c r="P32" s="8"/>
    </row>
    <row r="33" spans="1:16" s="10" customFormat="1" ht="25.5">
      <c r="A33" s="9" t="s">
        <v>67</v>
      </c>
      <c r="B33" s="62">
        <v>15252</v>
      </c>
      <c r="C33" s="62">
        <v>6734</v>
      </c>
      <c r="D33" s="62">
        <v>8518</v>
      </c>
      <c r="E33" s="63">
        <v>55.8</v>
      </c>
      <c r="F33" s="63">
        <v>5.8</v>
      </c>
      <c r="G33" s="67"/>
      <c r="H33" s="44"/>
      <c r="I33" s="67"/>
      <c r="J33" s="70"/>
      <c r="K33" s="70"/>
      <c r="L33" s="70"/>
      <c r="M33" s="70"/>
      <c r="N33" s="66"/>
      <c r="O33" s="66"/>
      <c r="P33" s="8"/>
    </row>
    <row r="34" spans="1:16" s="10" customFormat="1" ht="25.5">
      <c r="A34" s="9" t="s">
        <v>68</v>
      </c>
      <c r="B34" s="62">
        <v>3513</v>
      </c>
      <c r="C34" s="62">
        <v>1607</v>
      </c>
      <c r="D34" s="62">
        <v>1906</v>
      </c>
      <c r="E34" s="63">
        <v>54.3</v>
      </c>
      <c r="F34" s="63">
        <v>5.4</v>
      </c>
      <c r="G34" s="67"/>
      <c r="H34" s="44"/>
      <c r="I34" s="67"/>
      <c r="J34" s="70"/>
      <c r="K34" s="70"/>
      <c r="L34" s="70"/>
      <c r="M34" s="70"/>
      <c r="N34" s="66"/>
      <c r="O34" s="66"/>
      <c r="P34" s="8"/>
    </row>
    <row r="35" spans="1:16" s="10" customFormat="1" ht="24.75" customHeight="1">
      <c r="A35" s="9" t="s">
        <v>19</v>
      </c>
      <c r="B35" s="62">
        <v>319</v>
      </c>
      <c r="C35" s="62">
        <v>97</v>
      </c>
      <c r="D35" s="62">
        <v>222</v>
      </c>
      <c r="E35" s="63">
        <v>69.6</v>
      </c>
      <c r="F35" s="63">
        <v>-17.6</v>
      </c>
      <c r="G35" s="67"/>
      <c r="H35" s="44"/>
      <c r="I35" s="67"/>
      <c r="J35" s="70"/>
      <c r="K35" s="70"/>
      <c r="L35" s="70"/>
      <c r="M35" s="70"/>
      <c r="N35" s="66"/>
      <c r="O35" s="66"/>
      <c r="P35" s="8"/>
    </row>
    <row r="36" spans="1:16" s="10" customFormat="1" ht="24.75" customHeight="1">
      <c r="A36" s="9" t="s">
        <v>30</v>
      </c>
      <c r="B36" s="62">
        <v>14360</v>
      </c>
      <c r="C36" s="62">
        <v>6827</v>
      </c>
      <c r="D36" s="62">
        <v>7533</v>
      </c>
      <c r="E36" s="63">
        <v>52.5</v>
      </c>
      <c r="F36" s="63">
        <v>4.7</v>
      </c>
      <c r="G36" s="67"/>
      <c r="H36" s="44"/>
      <c r="I36" s="67"/>
      <c r="J36" s="70"/>
      <c r="K36" s="70"/>
      <c r="L36" s="70"/>
      <c r="M36" s="70"/>
      <c r="N36" s="66"/>
      <c r="O36" s="66"/>
      <c r="P36" s="8"/>
    </row>
    <row r="37" spans="1:16" s="10" customFormat="1" ht="24.75" customHeight="1">
      <c r="A37" s="9" t="s">
        <v>31</v>
      </c>
      <c r="B37" s="62">
        <v>12944</v>
      </c>
      <c r="C37" s="62">
        <v>6325</v>
      </c>
      <c r="D37" s="62">
        <v>6619</v>
      </c>
      <c r="E37" s="63">
        <v>51.1</v>
      </c>
      <c r="F37" s="63">
        <v>9.1</v>
      </c>
      <c r="G37" s="67"/>
      <c r="H37" s="44"/>
      <c r="I37" s="67"/>
      <c r="J37" s="70"/>
      <c r="K37" s="70"/>
      <c r="L37" s="70"/>
      <c r="M37" s="70"/>
      <c r="N37" s="66"/>
      <c r="O37" s="66"/>
      <c r="P37" s="8"/>
    </row>
    <row r="38" spans="1:16" s="10" customFormat="1" ht="24.75" customHeight="1">
      <c r="A38" s="9" t="s">
        <v>15</v>
      </c>
      <c r="B38" s="62">
        <v>2638</v>
      </c>
      <c r="C38" s="62">
        <v>1126</v>
      </c>
      <c r="D38" s="62">
        <v>1512</v>
      </c>
      <c r="E38" s="63">
        <v>57.3</v>
      </c>
      <c r="F38" s="63">
        <v>2.2075910147172806</v>
      </c>
      <c r="G38" s="67"/>
      <c r="H38" s="44"/>
      <c r="I38" s="67"/>
      <c r="J38" s="70"/>
      <c r="K38" s="70"/>
      <c r="L38" s="70"/>
      <c r="M38" s="70"/>
      <c r="N38" s="66"/>
      <c r="O38" s="66"/>
      <c r="P38" s="8"/>
    </row>
    <row r="39" spans="1:15" s="2" customFormat="1" ht="24.75" customHeight="1">
      <c r="A39" s="9" t="s">
        <v>39</v>
      </c>
      <c r="B39" s="62">
        <v>49</v>
      </c>
      <c r="C39" s="62">
        <v>17</v>
      </c>
      <c r="D39" s="62">
        <v>32</v>
      </c>
      <c r="E39" s="63">
        <v>65.3</v>
      </c>
      <c r="F39" s="63">
        <v>-49.48453608247423</v>
      </c>
      <c r="G39" s="67"/>
      <c r="H39" s="44"/>
      <c r="I39" s="67"/>
      <c r="J39" s="70"/>
      <c r="K39" s="70"/>
      <c r="L39" s="70"/>
      <c r="M39" s="70"/>
      <c r="N39" s="65"/>
      <c r="O39" s="65"/>
    </row>
    <row r="40" spans="1:16" s="6" customFormat="1" ht="12.75">
      <c r="A40" s="1" t="s">
        <v>8</v>
      </c>
      <c r="B40" s="62"/>
      <c r="C40" s="62"/>
      <c r="D40" s="62"/>
      <c r="E40" s="63"/>
      <c r="F40" s="63"/>
      <c r="G40" s="60"/>
      <c r="H40" s="62"/>
      <c r="I40" s="67"/>
      <c r="J40" s="60"/>
      <c r="K40" s="69"/>
      <c r="L40" s="69"/>
      <c r="M40" s="60"/>
      <c r="N40" s="60"/>
      <c r="O40" s="60"/>
      <c r="P40" s="1"/>
    </row>
    <row r="41" spans="1:16" s="6" customFormat="1" ht="24.75" customHeight="1">
      <c r="A41" s="5" t="s">
        <v>20</v>
      </c>
      <c r="B41" s="62">
        <v>1408</v>
      </c>
      <c r="C41" s="62">
        <v>816</v>
      </c>
      <c r="D41" s="62">
        <v>592</v>
      </c>
      <c r="E41" s="63">
        <f>(D41/B41)*100</f>
        <v>42.04545454545455</v>
      </c>
      <c r="F41" s="63">
        <f>(B41/1113)*100-100</f>
        <v>26.504941599281224</v>
      </c>
      <c r="G41" s="60"/>
      <c r="H41" s="62"/>
      <c r="I41" s="67"/>
      <c r="J41" s="60"/>
      <c r="K41" s="69"/>
      <c r="L41" s="69"/>
      <c r="M41" s="60"/>
      <c r="N41" s="60"/>
      <c r="O41" s="60"/>
      <c r="P41" s="1"/>
    </row>
    <row r="42" spans="1:16" s="6" customFormat="1" ht="24.75" customHeight="1">
      <c r="A42" s="5" t="s">
        <v>70</v>
      </c>
      <c r="B42" s="62">
        <v>208</v>
      </c>
      <c r="C42" s="62">
        <v>65</v>
      </c>
      <c r="D42" s="62">
        <v>143</v>
      </c>
      <c r="E42" s="63">
        <f>(D42/B42)*100</f>
        <v>68.75</v>
      </c>
      <c r="F42" s="63">
        <f>(B42/196)*100-100</f>
        <v>6.122448979591837</v>
      </c>
      <c r="G42" s="60"/>
      <c r="H42" s="44"/>
      <c r="I42" s="67"/>
      <c r="J42" s="70"/>
      <c r="K42" s="70"/>
      <c r="L42" s="70"/>
      <c r="M42" s="70"/>
      <c r="N42" s="60"/>
      <c r="O42" s="60"/>
      <c r="P42" s="1"/>
    </row>
    <row r="43" spans="1:15" ht="25.5">
      <c r="A43" s="5" t="s">
        <v>36</v>
      </c>
      <c r="B43" s="62">
        <v>2693</v>
      </c>
      <c r="C43" s="62">
        <v>1742</v>
      </c>
      <c r="D43" s="62">
        <v>951</v>
      </c>
      <c r="E43" s="63">
        <v>35.3</v>
      </c>
      <c r="F43" s="63">
        <v>-2.46</v>
      </c>
      <c r="G43" s="67"/>
      <c r="H43" s="44"/>
      <c r="I43" s="67"/>
      <c r="J43" s="70"/>
      <c r="K43" s="70"/>
      <c r="L43" s="70"/>
      <c r="M43" s="70"/>
      <c r="N43" s="60"/>
      <c r="O43" s="60"/>
    </row>
    <row r="44" spans="1:15" ht="25.5">
      <c r="A44" s="5" t="s">
        <v>40</v>
      </c>
      <c r="B44" s="62">
        <v>1814</v>
      </c>
      <c r="C44" s="62">
        <v>1017</v>
      </c>
      <c r="D44" s="62">
        <v>797</v>
      </c>
      <c r="E44" s="63">
        <v>43.9</v>
      </c>
      <c r="F44" s="63">
        <v>6.202457577530723</v>
      </c>
      <c r="G44" s="67"/>
      <c r="H44" s="44"/>
      <c r="I44" s="67"/>
      <c r="J44" s="70"/>
      <c r="K44" s="70"/>
      <c r="L44" s="70"/>
      <c r="M44" s="70"/>
      <c r="N44" s="60"/>
      <c r="O44" s="60"/>
    </row>
    <row r="45" spans="1:15" ht="12.75" customHeight="1">
      <c r="A45" s="5" t="s">
        <v>38</v>
      </c>
      <c r="B45" s="62">
        <v>89</v>
      </c>
      <c r="C45" s="62">
        <v>22</v>
      </c>
      <c r="D45" s="62">
        <v>67</v>
      </c>
      <c r="E45" s="63">
        <v>75.3</v>
      </c>
      <c r="F45" s="63">
        <v>-14.423076923076934</v>
      </c>
      <c r="G45" s="67"/>
      <c r="H45" s="44"/>
      <c r="I45" s="67"/>
      <c r="J45" s="70"/>
      <c r="K45" s="70"/>
      <c r="L45" s="70"/>
      <c r="M45" s="70"/>
      <c r="N45" s="60"/>
      <c r="O45" s="60"/>
    </row>
    <row r="46" spans="1:15" ht="12.75" customHeight="1">
      <c r="A46" s="1" t="s">
        <v>3</v>
      </c>
      <c r="B46" s="62">
        <v>3851</v>
      </c>
      <c r="C46" s="62">
        <v>2186</v>
      </c>
      <c r="D46" s="62">
        <v>1665</v>
      </c>
      <c r="E46" s="63">
        <v>43.2</v>
      </c>
      <c r="F46" s="63">
        <v>5.7</v>
      </c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3.75" customHeight="1">
      <c r="A47" s="80"/>
      <c r="B47" s="80"/>
      <c r="C47" s="80"/>
      <c r="D47" s="80"/>
      <c r="E47" s="80"/>
      <c r="F47" s="8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2.75" customHeight="1">
      <c r="A48" s="79" t="s">
        <v>76</v>
      </c>
      <c r="B48" s="81"/>
      <c r="C48" s="79"/>
      <c r="D48" s="79"/>
      <c r="E48" s="79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2:15" ht="12.75" customHeight="1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2.75" customHeight="1">
      <c r="A50" s="1" t="s">
        <v>77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ht="12.75" customHeight="1"/>
    <row r="52" spans="1:4" ht="12.75" customHeight="1">
      <c r="A52" s="11" t="s">
        <v>59</v>
      </c>
      <c r="D52" s="31"/>
    </row>
    <row r="53" spans="1:256" ht="12.75" customHeight="1">
      <c r="A53" s="36" t="s">
        <v>23</v>
      </c>
      <c r="D53" s="3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 customHeight="1">
      <c r="A54" s="36" t="s">
        <v>60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7" ht="12.75" customHeight="1">
      <c r="A55" s="36" t="s">
        <v>61</v>
      </c>
      <c r="B55" s="36"/>
      <c r="C55" s="36"/>
      <c r="D55" s="36"/>
      <c r="E55" s="36"/>
      <c r="F55" s="36"/>
      <c r="G55" s="36"/>
    </row>
    <row r="56" ht="12.75" customHeight="1">
      <c r="A56" s="37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36.2812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63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s="13" customFormat="1" ht="3.75" customHeight="1">
      <c r="B3" s="24"/>
      <c r="F3" s="24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2"/>
      <c r="F13" s="35"/>
    </row>
    <row r="14" spans="1:15" ht="12.75" customHeight="1">
      <c r="A14" s="3" t="s">
        <v>44</v>
      </c>
      <c r="B14" s="71">
        <v>18217</v>
      </c>
      <c r="C14" s="59">
        <v>7718</v>
      </c>
      <c r="D14" s="71">
        <v>10499</v>
      </c>
      <c r="E14" s="72">
        <v>57.632980183345225</v>
      </c>
      <c r="F14" s="72">
        <v>0.7298866463920461</v>
      </c>
      <c r="G14" s="60"/>
      <c r="H14" s="60"/>
      <c r="I14" s="60"/>
      <c r="J14" s="61"/>
      <c r="K14" s="61"/>
      <c r="L14" s="60"/>
      <c r="M14" s="60"/>
      <c r="N14" s="60"/>
      <c r="O14" s="60"/>
    </row>
    <row r="15" spans="1:15" ht="12.75" customHeight="1">
      <c r="A15" s="3" t="s">
        <v>4</v>
      </c>
      <c r="B15" s="62">
        <v>13850</v>
      </c>
      <c r="C15" s="62">
        <v>7258</v>
      </c>
      <c r="D15" s="62">
        <v>6592</v>
      </c>
      <c r="E15" s="72">
        <v>47.5956678700361</v>
      </c>
      <c r="F15" s="72">
        <v>2.3348603517068085</v>
      </c>
      <c r="G15" s="63"/>
      <c r="H15" s="60"/>
      <c r="I15" s="60"/>
      <c r="J15" s="60"/>
      <c r="K15" s="60"/>
      <c r="L15" s="60"/>
      <c r="M15" s="60"/>
      <c r="N15" s="60"/>
      <c r="O15" s="60"/>
    </row>
    <row r="16" spans="1:15" ht="12.75" customHeight="1">
      <c r="A16" s="3" t="s">
        <v>51</v>
      </c>
      <c r="B16" s="62">
        <v>2264</v>
      </c>
      <c r="C16" s="62">
        <v>405</v>
      </c>
      <c r="D16" s="62">
        <v>1859</v>
      </c>
      <c r="E16" s="72">
        <v>82.1113074204947</v>
      </c>
      <c r="F16" s="72">
        <v>2.350813743218822</v>
      </c>
      <c r="G16" s="63"/>
      <c r="H16" s="60"/>
      <c r="I16" s="60"/>
      <c r="J16" s="60"/>
      <c r="K16" s="60"/>
      <c r="L16" s="60"/>
      <c r="M16" s="60"/>
      <c r="N16" s="60"/>
      <c r="O16" s="60"/>
    </row>
    <row r="17" spans="1:15" ht="12.75" customHeight="1">
      <c r="A17" s="3" t="s">
        <v>57</v>
      </c>
      <c r="B17" s="62">
        <v>710</v>
      </c>
      <c r="C17" s="62">
        <v>406</v>
      </c>
      <c r="D17" s="62">
        <v>304</v>
      </c>
      <c r="E17" s="72">
        <v>42.816901408450704</v>
      </c>
      <c r="F17" s="72">
        <v>16.7763157894737</v>
      </c>
      <c r="G17" s="63"/>
      <c r="H17" s="60"/>
      <c r="I17" s="60"/>
      <c r="J17" s="60"/>
      <c r="K17" s="60"/>
      <c r="L17" s="60"/>
      <c r="M17" s="60"/>
      <c r="N17" s="60"/>
      <c r="O17" s="60"/>
    </row>
    <row r="18" spans="1:15" ht="12.75" customHeight="1">
      <c r="A18" s="58" t="s">
        <v>58</v>
      </c>
      <c r="B18" s="62">
        <v>606</v>
      </c>
      <c r="C18" s="62">
        <v>318</v>
      </c>
      <c r="D18" s="62">
        <v>288</v>
      </c>
      <c r="E18" s="72">
        <v>47.524752475247524</v>
      </c>
      <c r="F18" s="72">
        <v>-5.607476635514018</v>
      </c>
      <c r="G18" s="63"/>
      <c r="H18" s="60"/>
      <c r="I18" s="60"/>
      <c r="J18" s="60"/>
      <c r="K18" s="60"/>
      <c r="L18" s="60"/>
      <c r="M18" s="60"/>
      <c r="N18" s="60"/>
      <c r="O18" s="60"/>
    </row>
    <row r="19" spans="1:15" ht="12.75" customHeight="1">
      <c r="A19" s="3" t="s">
        <v>45</v>
      </c>
      <c r="B19" s="62">
        <v>60853</v>
      </c>
      <c r="C19" s="62">
        <v>32953</v>
      </c>
      <c r="D19" s="62">
        <v>27900</v>
      </c>
      <c r="E19" s="72">
        <v>45.848191543555785</v>
      </c>
      <c r="F19" s="72">
        <v>0.3909858783159592</v>
      </c>
      <c r="G19" s="63"/>
      <c r="H19" s="60"/>
      <c r="I19" s="60"/>
      <c r="J19" s="60"/>
      <c r="K19" s="60"/>
      <c r="L19" s="60"/>
      <c r="M19" s="60"/>
      <c r="N19" s="60"/>
      <c r="O19" s="60"/>
    </row>
    <row r="20" spans="1:15" ht="12.75" customHeight="1">
      <c r="A20" s="3" t="s">
        <v>46</v>
      </c>
      <c r="B20" s="62">
        <v>4980</v>
      </c>
      <c r="C20" s="62">
        <v>2744</v>
      </c>
      <c r="D20" s="62">
        <v>2236</v>
      </c>
      <c r="E20" s="72">
        <v>44.899598393574294</v>
      </c>
      <c r="F20" s="72">
        <v>15.572058482246447</v>
      </c>
      <c r="G20" s="63"/>
      <c r="H20" s="60"/>
      <c r="I20" s="60"/>
      <c r="J20" s="60"/>
      <c r="K20" s="60"/>
      <c r="L20" s="60"/>
      <c r="M20" s="60"/>
      <c r="N20" s="60"/>
      <c r="O20" s="60"/>
    </row>
    <row r="21" spans="1:15" s="6" customFormat="1" ht="12.75" customHeight="1">
      <c r="A21" s="3" t="s">
        <v>42</v>
      </c>
      <c r="B21" s="62">
        <v>105</v>
      </c>
      <c r="C21" s="62">
        <v>26</v>
      </c>
      <c r="D21" s="62">
        <v>79</v>
      </c>
      <c r="E21" s="72">
        <v>75.23809523809524</v>
      </c>
      <c r="F21" s="72">
        <v>-23.91304347826086</v>
      </c>
      <c r="G21" s="63"/>
      <c r="H21" s="64"/>
      <c r="I21" s="64"/>
      <c r="J21" s="64"/>
      <c r="K21" s="64"/>
      <c r="L21" s="64"/>
      <c r="M21" s="64"/>
      <c r="N21" s="64"/>
      <c r="O21" s="64"/>
    </row>
    <row r="22" spans="1:16" s="6" customFormat="1" ht="12.75" customHeight="1">
      <c r="A22" s="5" t="s">
        <v>5</v>
      </c>
      <c r="B22" s="62">
        <v>2253</v>
      </c>
      <c r="C22" s="62">
        <v>1134</v>
      </c>
      <c r="D22" s="62">
        <v>1119</v>
      </c>
      <c r="E22" s="72">
        <v>49.66711051930759</v>
      </c>
      <c r="F22" s="72">
        <v>-31.143031784841085</v>
      </c>
      <c r="G22" s="63"/>
      <c r="H22" s="64"/>
      <c r="I22" s="60"/>
      <c r="J22" s="60"/>
      <c r="K22" s="60"/>
      <c r="L22" s="60"/>
      <c r="M22" s="60"/>
      <c r="N22" s="60"/>
      <c r="O22" s="60"/>
      <c r="P22" s="1"/>
    </row>
    <row r="23" spans="1:15" ht="12.75">
      <c r="A23" s="42" t="s">
        <v>41</v>
      </c>
      <c r="B23" s="62">
        <v>3425</v>
      </c>
      <c r="C23" s="62">
        <v>753</v>
      </c>
      <c r="D23" s="62">
        <v>2672</v>
      </c>
      <c r="E23" s="72">
        <v>78.01459854014598</v>
      </c>
      <c r="F23" s="72">
        <v>-1.665231122595472</v>
      </c>
      <c r="G23" s="63"/>
      <c r="H23" s="60"/>
      <c r="I23" s="60"/>
      <c r="J23" s="60"/>
      <c r="K23" s="60"/>
      <c r="L23" s="60"/>
      <c r="M23" s="60"/>
      <c r="N23" s="60"/>
      <c r="O23" s="60"/>
    </row>
    <row r="24" spans="1:15" s="2" customFormat="1" ht="12.75" customHeight="1">
      <c r="A24" s="3" t="s">
        <v>6</v>
      </c>
      <c r="B24" s="62">
        <v>750</v>
      </c>
      <c r="C24" s="62">
        <v>591</v>
      </c>
      <c r="D24" s="62">
        <v>159</v>
      </c>
      <c r="E24" s="72">
        <v>21.2</v>
      </c>
      <c r="F24" s="72">
        <v>-29.643527204502817</v>
      </c>
      <c r="G24" s="63"/>
      <c r="H24" s="60"/>
      <c r="I24" s="60"/>
      <c r="J24" s="60"/>
      <c r="K24" s="60"/>
      <c r="L24" s="60"/>
      <c r="M24" s="65"/>
      <c r="N24" s="65"/>
      <c r="O24" s="65"/>
    </row>
    <row r="25" spans="1:15" ht="12.75" customHeight="1">
      <c r="A25" s="1" t="s">
        <v>52</v>
      </c>
      <c r="B25" s="62"/>
      <c r="C25" s="62"/>
      <c r="D25" s="62"/>
      <c r="E25" s="72"/>
      <c r="F25" s="72"/>
      <c r="G25" s="60"/>
      <c r="H25" s="60"/>
      <c r="I25" s="60"/>
      <c r="J25" s="60"/>
      <c r="K25" s="60"/>
      <c r="L25" s="60"/>
      <c r="M25" s="60"/>
      <c r="N25" s="60"/>
      <c r="O25" s="60"/>
    </row>
    <row r="26" spans="1:16" s="10" customFormat="1" ht="12.75" customHeight="1">
      <c r="A26" s="3" t="s">
        <v>7</v>
      </c>
      <c r="B26" s="62"/>
      <c r="C26" s="62"/>
      <c r="D26" s="62"/>
      <c r="E26" s="72"/>
      <c r="F26" s="72"/>
      <c r="G26" s="59"/>
      <c r="H26" s="60"/>
      <c r="I26" s="60"/>
      <c r="J26" s="60"/>
      <c r="K26" s="60"/>
      <c r="L26" s="60"/>
      <c r="M26" s="66"/>
      <c r="N26" s="66"/>
      <c r="O26" s="66"/>
      <c r="P26" s="8"/>
    </row>
    <row r="27" spans="1:15" s="8" customFormat="1" ht="12.75" customHeight="1">
      <c r="A27" s="7" t="s">
        <v>14</v>
      </c>
      <c r="B27" s="62">
        <v>7611</v>
      </c>
      <c r="C27" s="62">
        <v>3914</v>
      </c>
      <c r="D27" s="62">
        <v>3697</v>
      </c>
      <c r="E27" s="72">
        <f>(D27/B27)*100</f>
        <v>48.574431743529104</v>
      </c>
      <c r="F27" s="72">
        <f>(B27/6863)*100-100</f>
        <v>10.899023750546405</v>
      </c>
      <c r="G27" s="60"/>
      <c r="H27" s="44"/>
      <c r="I27" s="60"/>
      <c r="J27" s="60"/>
      <c r="K27" s="60"/>
      <c r="L27" s="60"/>
      <c r="M27" s="66"/>
      <c r="N27" s="66"/>
      <c r="O27" s="66"/>
    </row>
    <row r="28" spans="1:15" s="8" customFormat="1" ht="12.75" customHeight="1">
      <c r="A28" s="7" t="s">
        <v>12</v>
      </c>
      <c r="B28" s="62">
        <v>2786</v>
      </c>
      <c r="C28" s="62">
        <v>2092</v>
      </c>
      <c r="D28" s="62">
        <v>694</v>
      </c>
      <c r="E28" s="72">
        <f>(D28/B28)*100</f>
        <v>24.910265613783203</v>
      </c>
      <c r="F28" s="72">
        <f>(B28/2798)*100-100</f>
        <v>-0.42887776983559434</v>
      </c>
      <c r="G28" s="60"/>
      <c r="H28" s="44"/>
      <c r="I28" s="60"/>
      <c r="J28" s="60"/>
      <c r="K28" s="60"/>
      <c r="L28" s="60"/>
      <c r="M28" s="66"/>
      <c r="N28" s="66"/>
      <c r="O28" s="66"/>
    </row>
    <row r="29" spans="1:16" s="10" customFormat="1" ht="15.75" customHeight="1">
      <c r="A29" s="7" t="s">
        <v>13</v>
      </c>
      <c r="B29" s="62">
        <v>14041</v>
      </c>
      <c r="C29" s="62">
        <v>8701</v>
      </c>
      <c r="D29" s="62">
        <v>5340</v>
      </c>
      <c r="E29" s="72">
        <f>(D29/B29)*100</f>
        <v>38.03147923937041</v>
      </c>
      <c r="F29" s="72">
        <f>(B29/13585)*100-100</f>
        <v>3.35664335664336</v>
      </c>
      <c r="G29" s="60"/>
      <c r="H29" s="44"/>
      <c r="I29" s="60"/>
      <c r="J29" s="60"/>
      <c r="K29" s="60"/>
      <c r="L29" s="60"/>
      <c r="M29" s="66"/>
      <c r="N29" s="66"/>
      <c r="O29" s="66"/>
      <c r="P29" s="8"/>
    </row>
    <row r="30" spans="1:15" ht="25.5">
      <c r="A30" s="41" t="s">
        <v>22</v>
      </c>
      <c r="B30" s="62">
        <v>2051</v>
      </c>
      <c r="C30" s="62">
        <v>858</v>
      </c>
      <c r="D30" s="62">
        <v>1193</v>
      </c>
      <c r="E30" s="72">
        <f>(D30/B30)*100</f>
        <v>58.16674792784008</v>
      </c>
      <c r="F30" s="72">
        <f>(B30/2025)*100-100</f>
        <v>1.2839506172839492</v>
      </c>
      <c r="G30" s="60"/>
      <c r="H30" s="44"/>
      <c r="I30" s="60"/>
      <c r="J30" s="60"/>
      <c r="K30" s="60"/>
      <c r="L30" s="60"/>
      <c r="M30" s="60"/>
      <c r="N30" s="60"/>
      <c r="O30" s="60"/>
    </row>
    <row r="31" spans="1:15" s="8" customFormat="1" ht="12.75" customHeight="1">
      <c r="A31" s="3" t="s">
        <v>35</v>
      </c>
      <c r="B31" s="74"/>
      <c r="C31" s="74"/>
      <c r="D31" s="74"/>
      <c r="E31" s="72"/>
      <c r="F31" s="72"/>
      <c r="G31" s="67"/>
      <c r="H31" s="44"/>
      <c r="I31" s="68"/>
      <c r="J31" s="68"/>
      <c r="K31" s="69"/>
      <c r="L31" s="69"/>
      <c r="M31" s="66"/>
      <c r="N31" s="66"/>
      <c r="O31" s="66"/>
    </row>
    <row r="32" spans="1:16" s="10" customFormat="1" ht="25.5">
      <c r="A32" s="78" t="s">
        <v>66</v>
      </c>
      <c r="B32" s="62">
        <v>886</v>
      </c>
      <c r="C32" s="62">
        <v>448</v>
      </c>
      <c r="D32" s="62">
        <v>438</v>
      </c>
      <c r="E32" s="63">
        <v>49.4</v>
      </c>
      <c r="F32" s="63">
        <v>-0.5611672278338915</v>
      </c>
      <c r="G32" s="67"/>
      <c r="H32" s="44"/>
      <c r="I32" s="67"/>
      <c r="J32" s="70"/>
      <c r="K32" s="70"/>
      <c r="L32" s="70"/>
      <c r="M32" s="70"/>
      <c r="N32" s="66"/>
      <c r="O32" s="66"/>
      <c r="P32" s="8"/>
    </row>
    <row r="33" spans="1:16" s="10" customFormat="1" ht="25.5">
      <c r="A33" s="9" t="s">
        <v>67</v>
      </c>
      <c r="B33" s="62">
        <v>14420</v>
      </c>
      <c r="C33" s="62">
        <v>6555</v>
      </c>
      <c r="D33" s="62">
        <v>7865</v>
      </c>
      <c r="E33" s="63">
        <v>54.5</v>
      </c>
      <c r="F33" s="63">
        <v>7.195955991674111</v>
      </c>
      <c r="G33" s="67"/>
      <c r="H33" s="44"/>
      <c r="I33" s="67"/>
      <c r="J33" s="70"/>
      <c r="K33" s="70"/>
      <c r="L33" s="70"/>
      <c r="M33" s="70"/>
      <c r="N33" s="66"/>
      <c r="O33" s="66"/>
      <c r="P33" s="8"/>
    </row>
    <row r="34" spans="1:16" s="10" customFormat="1" ht="25.5">
      <c r="A34" s="9" t="s">
        <v>68</v>
      </c>
      <c r="B34" s="62">
        <v>3334</v>
      </c>
      <c r="C34" s="62">
        <v>1371</v>
      </c>
      <c r="D34" s="62">
        <v>1963</v>
      </c>
      <c r="E34" s="63">
        <v>58.9</v>
      </c>
      <c r="F34" s="63">
        <v>0.8164499546416693</v>
      </c>
      <c r="G34" s="67"/>
      <c r="H34" s="44"/>
      <c r="I34" s="67"/>
      <c r="J34" s="70"/>
      <c r="K34" s="70"/>
      <c r="L34" s="70"/>
      <c r="M34" s="70"/>
      <c r="N34" s="66"/>
      <c r="O34" s="66"/>
      <c r="P34" s="8"/>
    </row>
    <row r="35" spans="1:16" s="10" customFormat="1" ht="24.75" customHeight="1">
      <c r="A35" s="9" t="s">
        <v>19</v>
      </c>
      <c r="B35" s="62">
        <v>387</v>
      </c>
      <c r="C35" s="62">
        <v>125</v>
      </c>
      <c r="D35" s="62">
        <v>262</v>
      </c>
      <c r="E35" s="63">
        <v>67.7</v>
      </c>
      <c r="F35" s="63">
        <v>-61.56901688182721</v>
      </c>
      <c r="G35" s="67"/>
      <c r="H35" s="44"/>
      <c r="I35" s="67"/>
      <c r="J35" s="70"/>
      <c r="K35" s="70"/>
      <c r="L35" s="70"/>
      <c r="M35" s="70"/>
      <c r="N35" s="66"/>
      <c r="O35" s="66"/>
      <c r="P35" s="8"/>
    </row>
    <row r="36" spans="1:16" s="10" customFormat="1" ht="24.75" customHeight="1">
      <c r="A36" s="9" t="s">
        <v>30</v>
      </c>
      <c r="B36" s="62">
        <v>13712</v>
      </c>
      <c r="C36" s="62">
        <v>6433</v>
      </c>
      <c r="D36" s="62">
        <v>7279</v>
      </c>
      <c r="E36" s="63">
        <v>53.1</v>
      </c>
      <c r="F36" s="63">
        <v>3.0355398602449384</v>
      </c>
      <c r="G36" s="67"/>
      <c r="H36" s="44"/>
      <c r="I36" s="67"/>
      <c r="J36" s="70"/>
      <c r="K36" s="70"/>
      <c r="L36" s="70"/>
      <c r="M36" s="70"/>
      <c r="N36" s="66"/>
      <c r="O36" s="66"/>
      <c r="P36" s="8"/>
    </row>
    <row r="37" spans="1:16" s="10" customFormat="1" ht="24.75" customHeight="1">
      <c r="A37" s="9" t="s">
        <v>31</v>
      </c>
      <c r="B37" s="62">
        <v>11863</v>
      </c>
      <c r="C37" s="62">
        <v>5769</v>
      </c>
      <c r="D37" s="62">
        <v>6094</v>
      </c>
      <c r="E37" s="63">
        <v>51.4</v>
      </c>
      <c r="F37" s="63">
        <v>9.304467987102711</v>
      </c>
      <c r="G37" s="67"/>
      <c r="H37" s="44"/>
      <c r="I37" s="67"/>
      <c r="J37" s="70"/>
      <c r="K37" s="70"/>
      <c r="L37" s="70"/>
      <c r="M37" s="70"/>
      <c r="N37" s="66"/>
      <c r="O37" s="66"/>
      <c r="P37" s="8"/>
    </row>
    <row r="38" spans="1:16" s="10" customFormat="1" ht="24.75" customHeight="1">
      <c r="A38" s="9" t="s">
        <v>15</v>
      </c>
      <c r="B38" s="62">
        <v>2582</v>
      </c>
      <c r="C38" s="62">
        <v>1056</v>
      </c>
      <c r="D38" s="62">
        <v>1526</v>
      </c>
      <c r="E38" s="63">
        <v>59.1</v>
      </c>
      <c r="F38" s="63">
        <v>13.345039508340648</v>
      </c>
      <c r="G38" s="67"/>
      <c r="H38" s="44"/>
      <c r="I38" s="67"/>
      <c r="J38" s="70"/>
      <c r="K38" s="70"/>
      <c r="L38" s="70"/>
      <c r="M38" s="70"/>
      <c r="N38" s="66"/>
      <c r="O38" s="66"/>
      <c r="P38" s="8"/>
    </row>
    <row r="39" spans="1:15" s="2" customFormat="1" ht="24.75" customHeight="1">
      <c r="A39" s="9" t="s">
        <v>39</v>
      </c>
      <c r="B39" s="62">
        <v>97</v>
      </c>
      <c r="C39" s="62">
        <v>17</v>
      </c>
      <c r="D39" s="62">
        <v>80</v>
      </c>
      <c r="E39" s="63">
        <v>82.5</v>
      </c>
      <c r="F39" s="63">
        <v>2.1276595744680833</v>
      </c>
      <c r="G39" s="67"/>
      <c r="H39" s="44"/>
      <c r="I39" s="67"/>
      <c r="J39" s="70"/>
      <c r="K39" s="70"/>
      <c r="L39" s="70"/>
      <c r="M39" s="70"/>
      <c r="N39" s="65"/>
      <c r="O39" s="65"/>
    </row>
    <row r="40" spans="1:16" s="6" customFormat="1" ht="12.75">
      <c r="A40" s="1" t="s">
        <v>8</v>
      </c>
      <c r="B40" s="62"/>
      <c r="C40" s="62"/>
      <c r="D40" s="62"/>
      <c r="E40" s="63"/>
      <c r="F40" s="63"/>
      <c r="G40" s="60"/>
      <c r="H40" s="62"/>
      <c r="I40" s="67"/>
      <c r="J40" s="60"/>
      <c r="K40" s="69"/>
      <c r="L40" s="69"/>
      <c r="M40" s="60"/>
      <c r="N40" s="60"/>
      <c r="O40" s="60"/>
      <c r="P40" s="1"/>
    </row>
    <row r="41" spans="1:16" s="6" customFormat="1" ht="24.75" customHeight="1">
      <c r="A41" s="5" t="s">
        <v>20</v>
      </c>
      <c r="B41" s="62">
        <v>1113</v>
      </c>
      <c r="C41" s="62">
        <v>598</v>
      </c>
      <c r="D41" s="62">
        <v>515</v>
      </c>
      <c r="E41" s="63">
        <f>(D41/B41)*100</f>
        <v>46.27133872416891</v>
      </c>
      <c r="F41" s="63">
        <f>(B41/1024)*100-100</f>
        <v>8.69140625</v>
      </c>
      <c r="G41" s="60"/>
      <c r="H41" s="62"/>
      <c r="I41" s="67"/>
      <c r="J41" s="60"/>
      <c r="K41" s="69"/>
      <c r="L41" s="69"/>
      <c r="M41" s="60"/>
      <c r="N41" s="60"/>
      <c r="O41" s="60"/>
      <c r="P41" s="1"/>
    </row>
    <row r="42" spans="1:16" s="6" customFormat="1" ht="24.75" customHeight="1">
      <c r="A42" s="5" t="s">
        <v>70</v>
      </c>
      <c r="B42" s="62">
        <v>196</v>
      </c>
      <c r="C42" s="62">
        <v>63</v>
      </c>
      <c r="D42" s="62">
        <v>133</v>
      </c>
      <c r="E42" s="63">
        <f>(D42/B42)*100</f>
        <v>67.85714285714286</v>
      </c>
      <c r="F42" s="63">
        <f>(B42/348)*100-100</f>
        <v>-43.67816091954023</v>
      </c>
      <c r="G42" s="60"/>
      <c r="H42" s="44"/>
      <c r="I42" s="67"/>
      <c r="J42" s="70"/>
      <c r="K42" s="70"/>
      <c r="L42" s="70"/>
      <c r="M42" s="70"/>
      <c r="N42" s="60"/>
      <c r="O42" s="60"/>
      <c r="P42" s="1"/>
    </row>
    <row r="43" spans="1:15" ht="25.5">
      <c r="A43" s="5" t="s">
        <v>36</v>
      </c>
      <c r="B43" s="62">
        <v>2761</v>
      </c>
      <c r="C43" s="62">
        <v>1902</v>
      </c>
      <c r="D43" s="62">
        <v>859</v>
      </c>
      <c r="E43" s="63">
        <v>31.1</v>
      </c>
      <c r="F43" s="63">
        <v>-0.3249097472924234</v>
      </c>
      <c r="G43" s="67"/>
      <c r="H43" s="44"/>
      <c r="I43" s="67"/>
      <c r="J43" s="70"/>
      <c r="K43" s="70"/>
      <c r="L43" s="70"/>
      <c r="M43" s="70"/>
      <c r="N43" s="60"/>
      <c r="O43" s="60"/>
    </row>
    <row r="44" spans="1:15" ht="25.5">
      <c r="A44" s="5" t="s">
        <v>40</v>
      </c>
      <c r="B44" s="62">
        <v>1713</v>
      </c>
      <c r="C44" s="62">
        <v>969</v>
      </c>
      <c r="D44" s="62">
        <v>744</v>
      </c>
      <c r="E44" s="63">
        <v>43.4</v>
      </c>
      <c r="F44" s="63">
        <v>5.55555555555556</v>
      </c>
      <c r="G44" s="67"/>
      <c r="H44" s="44"/>
      <c r="I44" s="67"/>
      <c r="J44" s="70"/>
      <c r="K44" s="70"/>
      <c r="L44" s="70"/>
      <c r="M44" s="70"/>
      <c r="N44" s="60"/>
      <c r="O44" s="60"/>
    </row>
    <row r="45" spans="1:15" ht="12.75" customHeight="1">
      <c r="A45" s="5" t="s">
        <v>38</v>
      </c>
      <c r="B45" s="62">
        <v>104</v>
      </c>
      <c r="C45" s="62">
        <v>36</v>
      </c>
      <c r="D45" s="62">
        <v>68</v>
      </c>
      <c r="E45" s="63">
        <v>65.4</v>
      </c>
      <c r="F45" s="63">
        <v>-36.58536585365854</v>
      </c>
      <c r="G45" s="67"/>
      <c r="H45" s="44"/>
      <c r="I45" s="67"/>
      <c r="J45" s="70"/>
      <c r="K45" s="70"/>
      <c r="L45" s="70"/>
      <c r="M45" s="70"/>
      <c r="N45" s="60"/>
      <c r="O45" s="60"/>
    </row>
    <row r="46" spans="1:15" ht="12.75" customHeight="1">
      <c r="A46" s="1" t="s">
        <v>3</v>
      </c>
      <c r="B46" s="62">
        <v>3641</v>
      </c>
      <c r="C46" s="62">
        <v>2049</v>
      </c>
      <c r="D46" s="62">
        <v>1592</v>
      </c>
      <c r="E46" s="63">
        <v>43.7</v>
      </c>
      <c r="F46" s="63">
        <v>-0.3</v>
      </c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3.75" customHeight="1">
      <c r="A47" s="80"/>
      <c r="B47" s="80"/>
      <c r="C47" s="80"/>
      <c r="D47" s="80"/>
      <c r="E47" s="80"/>
      <c r="F47" s="80"/>
      <c r="G47" s="60"/>
      <c r="H47" s="60"/>
      <c r="I47" s="60"/>
      <c r="J47" s="60"/>
      <c r="K47" s="60"/>
      <c r="L47" s="60"/>
      <c r="M47" s="60"/>
      <c r="N47" s="60"/>
      <c r="O47" s="60"/>
    </row>
    <row r="48" spans="2:15" ht="12.75" customHeight="1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2.75" customHeight="1">
      <c r="A49" s="1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37.0039062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56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s="13" customFormat="1" ht="3.75" customHeight="1">
      <c r="B3" s="24"/>
      <c r="F3" s="24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2"/>
      <c r="F13" s="35"/>
    </row>
    <row r="14" spans="1:11" ht="12.75" customHeight="1">
      <c r="A14" s="3" t="s">
        <v>44</v>
      </c>
      <c r="B14" s="46">
        <v>18085</v>
      </c>
      <c r="C14" s="31">
        <v>7802</v>
      </c>
      <c r="D14" s="46">
        <v>10283</v>
      </c>
      <c r="E14" s="48">
        <v>56.859275642797904</v>
      </c>
      <c r="F14" s="48">
        <v>-4.154963167099481</v>
      </c>
      <c r="J14" s="39"/>
      <c r="K14" s="39"/>
    </row>
    <row r="15" spans="1:7" ht="12.75" customHeight="1">
      <c r="A15" s="3" t="s">
        <v>4</v>
      </c>
      <c r="B15" s="44">
        <v>13534</v>
      </c>
      <c r="C15" s="44">
        <v>7077</v>
      </c>
      <c r="D15" s="44">
        <v>6457</v>
      </c>
      <c r="E15" s="48">
        <v>47.709472439781294</v>
      </c>
      <c r="F15" s="48">
        <v>6.099090624020079</v>
      </c>
      <c r="G15" s="32"/>
    </row>
    <row r="16" spans="1:7" ht="12.75" customHeight="1">
      <c r="A16" s="3" t="s">
        <v>51</v>
      </c>
      <c r="B16" s="44">
        <v>2212</v>
      </c>
      <c r="C16" s="44">
        <v>385</v>
      </c>
      <c r="D16" s="44">
        <v>1827</v>
      </c>
      <c r="E16" s="48">
        <v>82.59493670886076</v>
      </c>
      <c r="F16" s="48">
        <v>27.272727272727266</v>
      </c>
      <c r="G16" s="32"/>
    </row>
    <row r="17" spans="1:7" ht="12.75" customHeight="1">
      <c r="A17" s="3" t="s">
        <v>57</v>
      </c>
      <c r="B17" s="44">
        <v>608</v>
      </c>
      <c r="C17" s="44">
        <v>328</v>
      </c>
      <c r="D17" s="44">
        <v>280</v>
      </c>
      <c r="E17" s="48">
        <v>46.05263157894737</v>
      </c>
      <c r="F17" s="48">
        <v>3.4013605442176953</v>
      </c>
      <c r="G17" s="32"/>
    </row>
    <row r="18" spans="1:7" ht="12.75" customHeight="1">
      <c r="A18" s="58" t="s">
        <v>58</v>
      </c>
      <c r="B18" s="44">
        <v>642</v>
      </c>
      <c r="C18" s="44">
        <v>329</v>
      </c>
      <c r="D18" s="44">
        <v>313</v>
      </c>
      <c r="E18" s="48">
        <v>48.753894080996886</v>
      </c>
      <c r="F18" s="48">
        <v>-10.460251046025107</v>
      </c>
      <c r="G18" s="32"/>
    </row>
    <row r="19" spans="1:7" ht="12.75" customHeight="1">
      <c r="A19" s="3" t="s">
        <v>45</v>
      </c>
      <c r="B19" s="44">
        <v>60616</v>
      </c>
      <c r="C19" s="44">
        <v>32960</v>
      </c>
      <c r="D19" s="44">
        <v>27656</v>
      </c>
      <c r="E19" s="48">
        <v>45.62491751352778</v>
      </c>
      <c r="F19" s="48">
        <v>0.5590670050929845</v>
      </c>
      <c r="G19" s="32"/>
    </row>
    <row r="20" spans="1:7" ht="12.75" customHeight="1">
      <c r="A20" s="3" t="s">
        <v>46</v>
      </c>
      <c r="B20" s="44">
        <v>4309</v>
      </c>
      <c r="C20" s="44">
        <v>2368</v>
      </c>
      <c r="D20" s="44">
        <v>1941</v>
      </c>
      <c r="E20" s="48">
        <v>45.04525411928522</v>
      </c>
      <c r="F20" s="48">
        <v>7.029309488325879</v>
      </c>
      <c r="G20" s="32"/>
    </row>
    <row r="21" spans="1:7" s="6" customFormat="1" ht="12.75" customHeight="1">
      <c r="A21" s="3" t="s">
        <v>42</v>
      </c>
      <c r="B21" s="44">
        <v>138</v>
      </c>
      <c r="C21" s="44">
        <v>39</v>
      </c>
      <c r="D21" s="44">
        <v>99</v>
      </c>
      <c r="E21" s="48">
        <v>71.73913043478261</v>
      </c>
      <c r="F21" s="48">
        <v>-85.75851393188854</v>
      </c>
      <c r="G21" s="32"/>
    </row>
    <row r="22" spans="1:16" s="6" customFormat="1" ht="12.75" customHeight="1">
      <c r="A22" s="5" t="s">
        <v>5</v>
      </c>
      <c r="B22" s="44">
        <v>3272</v>
      </c>
      <c r="C22" s="44">
        <v>1652</v>
      </c>
      <c r="D22" s="44">
        <v>1620</v>
      </c>
      <c r="E22" s="48">
        <v>49.511002444987774</v>
      </c>
      <c r="F22" s="48">
        <v>3.4134007585334984</v>
      </c>
      <c r="G22" s="32"/>
      <c r="I22" s="1"/>
      <c r="J22" s="1"/>
      <c r="K22" s="1"/>
      <c r="L22" s="1"/>
      <c r="M22" s="1"/>
      <c r="N22" s="1"/>
      <c r="O22" s="1"/>
      <c r="P22" s="1"/>
    </row>
    <row r="23" spans="1:7" ht="12.75">
      <c r="A23" s="42" t="s">
        <v>41</v>
      </c>
      <c r="B23" s="44">
        <v>3483</v>
      </c>
      <c r="C23" s="44">
        <v>776</v>
      </c>
      <c r="D23" s="44">
        <v>2707</v>
      </c>
      <c r="E23" s="48">
        <v>77.72035601492966</v>
      </c>
      <c r="F23" s="48">
        <v>3.6607142857142776</v>
      </c>
      <c r="G23" s="32"/>
    </row>
    <row r="24" spans="1:12" s="2" customFormat="1" ht="12.75" customHeight="1">
      <c r="A24" s="3" t="s">
        <v>6</v>
      </c>
      <c r="B24" s="44">
        <v>1066</v>
      </c>
      <c r="C24" s="44">
        <v>823</v>
      </c>
      <c r="D24" s="44">
        <v>243</v>
      </c>
      <c r="E24" s="48">
        <v>22.795497185741088</v>
      </c>
      <c r="F24" s="48">
        <v>3.0947775628626744</v>
      </c>
      <c r="G24" s="32"/>
      <c r="H24" s="1" t="s">
        <v>47</v>
      </c>
      <c r="I24" s="1"/>
      <c r="J24" s="1"/>
      <c r="K24" s="1"/>
      <c r="L24" s="1"/>
    </row>
    <row r="25" spans="1:6" ht="12.75" customHeight="1">
      <c r="A25" s="1" t="s">
        <v>52</v>
      </c>
      <c r="B25" s="44"/>
      <c r="C25" s="44"/>
      <c r="D25" s="44"/>
      <c r="E25" s="48"/>
      <c r="F25" s="48"/>
    </row>
    <row r="26" spans="1:16" s="10" customFormat="1" ht="12.75" customHeight="1">
      <c r="A26" s="3" t="s">
        <v>7</v>
      </c>
      <c r="B26" s="44"/>
      <c r="C26" s="44"/>
      <c r="D26" s="44"/>
      <c r="E26" s="48"/>
      <c r="F26" s="48"/>
      <c r="G26" s="31"/>
      <c r="H26" s="1"/>
      <c r="I26" s="1"/>
      <c r="J26" s="1"/>
      <c r="K26" s="1"/>
      <c r="L26" s="1"/>
      <c r="M26" s="8"/>
      <c r="N26" s="8"/>
      <c r="O26" s="8"/>
      <c r="P26" s="8"/>
    </row>
    <row r="27" spans="1:12" s="8" customFormat="1" ht="12.75" customHeight="1">
      <c r="A27" s="7" t="s">
        <v>14</v>
      </c>
      <c r="B27" s="44">
        <v>6863</v>
      </c>
      <c r="C27" s="44">
        <v>3680</v>
      </c>
      <c r="D27" s="44">
        <v>3183</v>
      </c>
      <c r="E27" s="48">
        <f>(D27/B27)*100</f>
        <v>46.379134489290394</v>
      </c>
      <c r="F27" s="48">
        <f>(B27/7072)*100-100</f>
        <v>-2.9553167420814503</v>
      </c>
      <c r="G27" s="1"/>
      <c r="H27" s="1"/>
      <c r="I27" s="1"/>
      <c r="J27" s="1"/>
      <c r="K27" s="1"/>
      <c r="L27" s="1"/>
    </row>
    <row r="28" spans="1:12" s="8" customFormat="1" ht="12.75" customHeight="1">
      <c r="A28" s="7" t="s">
        <v>12</v>
      </c>
      <c r="B28" s="44">
        <v>2798</v>
      </c>
      <c r="C28" s="44">
        <v>2155</v>
      </c>
      <c r="D28" s="44">
        <v>643</v>
      </c>
      <c r="E28" s="48">
        <f>(D28/B28)*100</f>
        <v>22.980700500357397</v>
      </c>
      <c r="F28" s="48">
        <f>(B28/2950)*100-100</f>
        <v>-5.152542372881356</v>
      </c>
      <c r="G28" s="1"/>
      <c r="H28" s="1"/>
      <c r="I28" s="1"/>
      <c r="J28" s="1"/>
      <c r="K28" s="1"/>
      <c r="L28" s="1"/>
    </row>
    <row r="29" spans="1:16" s="10" customFormat="1" ht="15.75" customHeight="1">
      <c r="A29" s="7" t="s">
        <v>13</v>
      </c>
      <c r="B29" s="44">
        <v>13585</v>
      </c>
      <c r="C29" s="44">
        <v>8219</v>
      </c>
      <c r="D29" s="44">
        <v>5366</v>
      </c>
      <c r="E29" s="48">
        <f>(D29/B29)*100</f>
        <v>39.49944792050055</v>
      </c>
      <c r="F29" s="48">
        <f>(B29/13160)*100-100</f>
        <v>3.2294832826747637</v>
      </c>
      <c r="G29" s="1"/>
      <c r="H29" s="1"/>
      <c r="I29" s="1"/>
      <c r="J29" s="1"/>
      <c r="K29" s="1"/>
      <c r="L29" s="1"/>
      <c r="M29" s="8"/>
      <c r="N29" s="8"/>
      <c r="O29" s="8"/>
      <c r="P29" s="8"/>
    </row>
    <row r="30" spans="1:6" ht="25.5">
      <c r="A30" s="41" t="s">
        <v>22</v>
      </c>
      <c r="B30" s="44">
        <v>2025</v>
      </c>
      <c r="C30" s="44">
        <v>782</v>
      </c>
      <c r="D30" s="44">
        <v>1243</v>
      </c>
      <c r="E30" s="48">
        <f>(D30/B30)*100</f>
        <v>61.382716049382715</v>
      </c>
      <c r="F30" s="48">
        <f>(B30/3385)*100-100</f>
        <v>-40.177252584933534</v>
      </c>
    </row>
    <row r="31" spans="1:12" s="8" customFormat="1" ht="12.75" customHeight="1">
      <c r="A31" s="3" t="s">
        <v>35</v>
      </c>
      <c r="B31" s="47"/>
      <c r="C31" s="47"/>
      <c r="D31" s="47"/>
      <c r="E31" s="48"/>
      <c r="F31" s="48"/>
      <c r="G31" s="56"/>
      <c r="H31" s="55"/>
      <c r="I31" s="55"/>
      <c r="J31" s="55"/>
      <c r="K31" s="54"/>
      <c r="L31" s="54"/>
    </row>
    <row r="32" spans="1:16" s="10" customFormat="1" ht="25.5">
      <c r="A32" s="78" t="s">
        <v>66</v>
      </c>
      <c r="B32" s="44">
        <v>891</v>
      </c>
      <c r="C32" s="44">
        <v>418</v>
      </c>
      <c r="D32" s="44">
        <v>473</v>
      </c>
      <c r="E32" s="32">
        <v>53.1</v>
      </c>
      <c r="F32" s="51">
        <v>-15.22359657469077</v>
      </c>
      <c r="G32" s="56"/>
      <c r="H32" s="55"/>
      <c r="I32" s="56"/>
      <c r="J32" s="57"/>
      <c r="K32" s="57"/>
      <c r="L32" s="57"/>
      <c r="M32" s="57"/>
      <c r="N32" s="8"/>
      <c r="O32" s="8"/>
      <c r="P32" s="8"/>
    </row>
    <row r="33" spans="1:16" s="10" customFormat="1" ht="25.5">
      <c r="A33" s="9" t="s">
        <v>67</v>
      </c>
      <c r="B33" s="44">
        <v>13452</v>
      </c>
      <c r="C33" s="44">
        <v>6153</v>
      </c>
      <c r="D33" s="44">
        <v>7299</v>
      </c>
      <c r="E33" s="32">
        <v>54.3</v>
      </c>
      <c r="F33" s="51">
        <v>8.169829527179157</v>
      </c>
      <c r="G33" s="56"/>
      <c r="H33" s="55"/>
      <c r="I33" s="56"/>
      <c r="J33" s="57"/>
      <c r="K33" s="57"/>
      <c r="L33" s="57"/>
      <c r="M33" s="57"/>
      <c r="N33" s="8"/>
      <c r="O33" s="8"/>
      <c r="P33" s="8"/>
    </row>
    <row r="34" spans="1:16" s="10" customFormat="1" ht="25.5">
      <c r="A34" s="9" t="s">
        <v>68</v>
      </c>
      <c r="B34" s="44">
        <v>3307</v>
      </c>
      <c r="C34" s="44">
        <v>1457</v>
      </c>
      <c r="D34" s="44">
        <v>1850</v>
      </c>
      <c r="E34" s="32">
        <v>55.9</v>
      </c>
      <c r="F34" s="51">
        <v>22.526861800666914</v>
      </c>
      <c r="G34" s="56"/>
      <c r="H34" s="55"/>
      <c r="I34" s="56"/>
      <c r="J34" s="57"/>
      <c r="K34" s="57"/>
      <c r="L34" s="57"/>
      <c r="M34" s="57"/>
      <c r="N34" s="8"/>
      <c r="O34" s="8"/>
      <c r="P34" s="8"/>
    </row>
    <row r="35" spans="1:16" s="10" customFormat="1" ht="24.75" customHeight="1">
      <c r="A35" s="9" t="s">
        <v>19</v>
      </c>
      <c r="B35" s="44">
        <v>1011</v>
      </c>
      <c r="C35" s="44">
        <v>354</v>
      </c>
      <c r="D35" s="44">
        <v>657</v>
      </c>
      <c r="E35" s="32">
        <v>65</v>
      </c>
      <c r="F35" s="51">
        <v>-54.37245129134571</v>
      </c>
      <c r="G35" s="56"/>
      <c r="H35" s="55"/>
      <c r="I35" s="57"/>
      <c r="J35" s="57"/>
      <c r="K35" s="57"/>
      <c r="L35" s="57"/>
      <c r="M35" s="57"/>
      <c r="N35" s="8"/>
      <c r="O35" s="8"/>
      <c r="P35" s="8"/>
    </row>
    <row r="36" spans="1:16" s="10" customFormat="1" ht="24.75" customHeight="1">
      <c r="A36" s="9" t="s">
        <v>30</v>
      </c>
      <c r="B36" s="44">
        <v>13309</v>
      </c>
      <c r="C36" s="44">
        <v>6392</v>
      </c>
      <c r="D36" s="44">
        <v>6917</v>
      </c>
      <c r="E36" s="32">
        <v>52</v>
      </c>
      <c r="F36" s="51">
        <v>6.310408179567058</v>
      </c>
      <c r="G36" s="56"/>
      <c r="H36" s="55"/>
      <c r="I36" s="57"/>
      <c r="J36" s="57"/>
      <c r="K36" s="57"/>
      <c r="L36" s="57"/>
      <c r="M36" s="57"/>
      <c r="N36" s="8"/>
      <c r="O36" s="8"/>
      <c r="P36" s="8"/>
    </row>
    <row r="37" spans="1:16" s="10" customFormat="1" ht="24.75" customHeight="1">
      <c r="A37" s="9" t="s">
        <v>31</v>
      </c>
      <c r="B37" s="44">
        <v>10855</v>
      </c>
      <c r="C37" s="44">
        <v>5318</v>
      </c>
      <c r="D37" s="44">
        <v>5537</v>
      </c>
      <c r="E37" s="32">
        <v>51</v>
      </c>
      <c r="F37" s="51">
        <v>14.549483013293942</v>
      </c>
      <c r="G37" s="56"/>
      <c r="H37" s="55"/>
      <c r="I37" s="57"/>
      <c r="J37" s="57"/>
      <c r="K37" s="57"/>
      <c r="L37" s="57"/>
      <c r="M37" s="57"/>
      <c r="N37" s="8"/>
      <c r="O37" s="8"/>
      <c r="P37" s="8"/>
    </row>
    <row r="38" spans="1:16" s="10" customFormat="1" ht="24.75" customHeight="1">
      <c r="A38" s="9" t="s">
        <v>15</v>
      </c>
      <c r="B38" s="44">
        <v>2279</v>
      </c>
      <c r="C38" s="44">
        <v>962</v>
      </c>
      <c r="D38" s="44">
        <v>1317</v>
      </c>
      <c r="E38" s="32">
        <v>57.8</v>
      </c>
      <c r="F38" s="51">
        <v>4.160951074531312</v>
      </c>
      <c r="G38" s="44"/>
      <c r="H38" s="55"/>
      <c r="I38" s="57"/>
      <c r="J38" s="57"/>
      <c r="K38" s="57"/>
      <c r="L38" s="57"/>
      <c r="M38" s="57"/>
      <c r="N38" s="8"/>
      <c r="O38" s="8"/>
      <c r="P38" s="8"/>
    </row>
    <row r="39" spans="1:13" s="2" customFormat="1" ht="24.75" customHeight="1">
      <c r="A39" s="9" t="s">
        <v>39</v>
      </c>
      <c r="B39" s="44">
        <v>94</v>
      </c>
      <c r="C39" s="44">
        <v>15</v>
      </c>
      <c r="D39" s="44">
        <v>79</v>
      </c>
      <c r="E39" s="32">
        <v>84</v>
      </c>
      <c r="F39" s="51">
        <v>-17.543859649122805</v>
      </c>
      <c r="G39" s="56"/>
      <c r="H39" s="55"/>
      <c r="I39" s="57"/>
      <c r="J39" s="57"/>
      <c r="K39" s="57"/>
      <c r="L39" s="57"/>
      <c r="M39" s="57"/>
    </row>
    <row r="40" spans="1:16" s="6" customFormat="1" ht="12.75">
      <c r="A40" s="1" t="s">
        <v>8</v>
      </c>
      <c r="B40" s="50"/>
      <c r="C40" s="50"/>
      <c r="D40" s="50"/>
      <c r="E40" s="51"/>
      <c r="F40" s="51"/>
      <c r="G40" s="1"/>
      <c r="H40" s="1"/>
      <c r="I40" s="1"/>
      <c r="J40" s="1"/>
      <c r="K40" s="54"/>
      <c r="L40" s="54"/>
      <c r="M40" s="1"/>
      <c r="N40" s="1"/>
      <c r="O40" s="1"/>
      <c r="P40" s="1"/>
    </row>
    <row r="41" spans="1:16" s="6" customFormat="1" ht="24.75" customHeight="1">
      <c r="A41" s="5" t="s">
        <v>20</v>
      </c>
      <c r="B41" s="50">
        <v>1024</v>
      </c>
      <c r="C41" s="44">
        <v>627</v>
      </c>
      <c r="D41" s="44">
        <v>397</v>
      </c>
      <c r="E41" s="32">
        <f>(D41/B41)*100</f>
        <v>38.76953125</v>
      </c>
      <c r="F41" s="51">
        <f>(B41/1295)*100-100</f>
        <v>-20.92664092664093</v>
      </c>
      <c r="G41" s="1"/>
      <c r="H41" s="1"/>
      <c r="I41" s="1"/>
      <c r="J41" s="1"/>
      <c r="K41" s="54"/>
      <c r="L41" s="54"/>
      <c r="M41" s="1"/>
      <c r="N41" s="1"/>
      <c r="O41" s="1"/>
      <c r="P41" s="1"/>
    </row>
    <row r="42" spans="1:16" s="6" customFormat="1" ht="24.75" customHeight="1">
      <c r="A42" s="5" t="s">
        <v>70</v>
      </c>
      <c r="B42" s="50">
        <v>348</v>
      </c>
      <c r="C42" s="44">
        <v>140</v>
      </c>
      <c r="D42" s="44">
        <v>208</v>
      </c>
      <c r="E42" s="32">
        <f>(D42/B42)*100</f>
        <v>59.77011494252874</v>
      </c>
      <c r="F42" s="51">
        <f>(B42/464)*100-100</f>
        <v>-25</v>
      </c>
      <c r="G42" s="1"/>
      <c r="H42" s="1"/>
      <c r="I42" s="56"/>
      <c r="J42" s="57"/>
      <c r="K42" s="57"/>
      <c r="L42" s="57"/>
      <c r="M42" s="57"/>
      <c r="N42" s="1"/>
      <c r="O42" s="1"/>
      <c r="P42" s="1"/>
    </row>
    <row r="43" spans="1:13" ht="25.5">
      <c r="A43" s="5" t="s">
        <v>36</v>
      </c>
      <c r="B43" s="44">
        <v>2770</v>
      </c>
      <c r="C43" s="44">
        <v>1796</v>
      </c>
      <c r="D43" s="44">
        <v>974</v>
      </c>
      <c r="E43" s="32">
        <v>35.2</v>
      </c>
      <c r="F43" s="51">
        <v>-5.0068587105624145</v>
      </c>
      <c r="G43" s="56"/>
      <c r="H43" s="55"/>
      <c r="I43" s="57"/>
      <c r="J43" s="57"/>
      <c r="K43" s="57"/>
      <c r="L43" s="57"/>
      <c r="M43" s="57"/>
    </row>
    <row r="44" spans="1:13" ht="25.5">
      <c r="A44" s="5" t="s">
        <v>40</v>
      </c>
      <c r="B44" s="44">
        <v>1620</v>
      </c>
      <c r="C44" s="44">
        <v>954</v>
      </c>
      <c r="D44" s="44">
        <v>666</v>
      </c>
      <c r="E44" s="32">
        <v>41.1</v>
      </c>
      <c r="F44" s="51">
        <v>8.133333333333333</v>
      </c>
      <c r="G44" s="56"/>
      <c r="H44" s="55"/>
      <c r="I44" s="57"/>
      <c r="J44" s="57"/>
      <c r="K44" s="57"/>
      <c r="L44" s="57"/>
      <c r="M44" s="57"/>
    </row>
    <row r="45" spans="1:13" ht="25.5">
      <c r="A45" s="5" t="s">
        <v>38</v>
      </c>
      <c r="B45" s="44">
        <v>164</v>
      </c>
      <c r="C45" s="44">
        <v>53</v>
      </c>
      <c r="D45" s="44">
        <v>111</v>
      </c>
      <c r="E45" s="32">
        <v>67.7</v>
      </c>
      <c r="F45" s="51">
        <v>-29.310344827586203</v>
      </c>
      <c r="G45" s="56"/>
      <c r="H45" s="55"/>
      <c r="I45" s="57"/>
      <c r="J45" s="57"/>
      <c r="K45" s="57"/>
      <c r="L45" s="57"/>
      <c r="M45" s="57"/>
    </row>
    <row r="46" spans="1:13" ht="12.75" customHeight="1">
      <c r="A46" s="1" t="s">
        <v>3</v>
      </c>
      <c r="B46" s="44">
        <v>3652</v>
      </c>
      <c r="C46" s="44">
        <v>2077</v>
      </c>
      <c r="D46" s="44">
        <v>1575</v>
      </c>
      <c r="E46" s="32">
        <v>43.1</v>
      </c>
      <c r="F46" s="51">
        <v>4.5</v>
      </c>
      <c r="G46" s="56"/>
      <c r="H46" s="55"/>
      <c r="I46" s="57"/>
      <c r="J46" s="57"/>
      <c r="K46" s="57"/>
      <c r="L46" s="57"/>
      <c r="M46" s="57"/>
    </row>
    <row r="47" spans="1:6" ht="3.75" customHeight="1">
      <c r="A47" s="17"/>
      <c r="B47" s="19"/>
      <c r="C47" s="17"/>
      <c r="D47" s="17"/>
      <c r="E47" s="17"/>
      <c r="F47" s="52" t="e">
        <v>#DIV/0!</v>
      </c>
    </row>
    <row r="48" ht="12.75" customHeight="1">
      <c r="B48" s="31"/>
    </row>
    <row r="49" ht="12.75" customHeight="1">
      <c r="A49" s="1" t="s">
        <v>77</v>
      </c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55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s="13" customFormat="1" ht="3.75" customHeight="1">
      <c r="B3" s="24"/>
      <c r="F3" s="24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2"/>
      <c r="F13" s="35"/>
    </row>
    <row r="14" spans="1:11" ht="12.75" customHeight="1">
      <c r="A14" s="3" t="s">
        <v>44</v>
      </c>
      <c r="B14" s="46">
        <v>18869</v>
      </c>
      <c r="C14" s="31">
        <v>8085</v>
      </c>
      <c r="D14" s="46">
        <v>10784</v>
      </c>
      <c r="E14" s="32">
        <v>57.15194233928666</v>
      </c>
      <c r="F14" s="32">
        <v>0.586385201769815</v>
      </c>
      <c r="J14" s="39"/>
      <c r="K14" s="39"/>
    </row>
    <row r="15" spans="1:7" ht="12.75" customHeight="1">
      <c r="A15" s="3" t="s">
        <v>4</v>
      </c>
      <c r="B15" s="44">
        <v>12756</v>
      </c>
      <c r="C15" s="44">
        <v>6815</v>
      </c>
      <c r="D15" s="44">
        <v>5941</v>
      </c>
      <c r="E15" s="32">
        <v>46.57416117905299</v>
      </c>
      <c r="F15" s="32">
        <v>4.139113397012011</v>
      </c>
      <c r="G15" s="32"/>
    </row>
    <row r="16" spans="1:7" ht="12.75" customHeight="1">
      <c r="A16" s="3" t="s">
        <v>51</v>
      </c>
      <c r="B16" s="44">
        <v>1738</v>
      </c>
      <c r="C16" s="44">
        <v>252</v>
      </c>
      <c r="D16" s="44">
        <v>1486</v>
      </c>
      <c r="E16" s="32">
        <v>85.50057537399309</v>
      </c>
      <c r="F16" s="32">
        <v>28.07663964627855</v>
      </c>
      <c r="G16" s="32"/>
    </row>
    <row r="17" spans="1:7" ht="12.75" customHeight="1">
      <c r="A17" s="3" t="s">
        <v>57</v>
      </c>
      <c r="B17" s="44">
        <v>588</v>
      </c>
      <c r="C17" s="44">
        <v>334</v>
      </c>
      <c r="D17" s="44">
        <v>254</v>
      </c>
      <c r="E17" s="32">
        <v>43.197278911564624</v>
      </c>
      <c r="F17" s="32">
        <v>20.739219712525653</v>
      </c>
      <c r="G17" s="32"/>
    </row>
    <row r="18" spans="1:7" ht="12.75" customHeight="1">
      <c r="A18" s="58" t="s">
        <v>58</v>
      </c>
      <c r="B18" s="44">
        <v>717</v>
      </c>
      <c r="C18" s="44">
        <v>362</v>
      </c>
      <c r="D18" s="44">
        <v>355</v>
      </c>
      <c r="E18" s="32">
        <v>49.5118549511855</v>
      </c>
      <c r="F18" s="35"/>
      <c r="G18" s="32"/>
    </row>
    <row r="19" spans="1:7" ht="12.75" customHeight="1">
      <c r="A19" s="3" t="s">
        <v>45</v>
      </c>
      <c r="B19" s="44">
        <v>60279</v>
      </c>
      <c r="C19" s="44">
        <v>33004</v>
      </c>
      <c r="D19" s="44">
        <v>27275</v>
      </c>
      <c r="E19" s="32">
        <v>45.24793045670963</v>
      </c>
      <c r="F19" s="32">
        <v>1.5362069836778005</v>
      </c>
      <c r="G19" s="32"/>
    </row>
    <row r="20" spans="1:7" ht="12.75" customHeight="1">
      <c r="A20" s="3" t="s">
        <v>46</v>
      </c>
      <c r="B20" s="44">
        <v>4026</v>
      </c>
      <c r="C20" s="44">
        <v>2138</v>
      </c>
      <c r="D20" s="44">
        <v>1888</v>
      </c>
      <c r="E20" s="32">
        <v>46.89518132141083</v>
      </c>
      <c r="F20" s="32">
        <v>9.105691056910572</v>
      </c>
      <c r="G20" s="32"/>
    </row>
    <row r="21" spans="1:7" s="6" customFormat="1" ht="12.75" customHeight="1">
      <c r="A21" s="3" t="s">
        <v>42</v>
      </c>
      <c r="B21" s="44">
        <v>969</v>
      </c>
      <c r="C21" s="44">
        <v>170</v>
      </c>
      <c r="D21" s="44">
        <v>799</v>
      </c>
      <c r="E21" s="32">
        <v>82.45614035087719</v>
      </c>
      <c r="F21" s="32">
        <v>-5.555555555555557</v>
      </c>
      <c r="G21" s="32"/>
    </row>
    <row r="22" spans="1:16" s="6" customFormat="1" ht="12.75" customHeight="1">
      <c r="A22" s="5" t="s">
        <v>5</v>
      </c>
      <c r="B22" s="44">
        <v>3164</v>
      </c>
      <c r="C22" s="44">
        <v>1558</v>
      </c>
      <c r="D22" s="44">
        <v>1606</v>
      </c>
      <c r="E22" s="32">
        <v>50.75853350189633</v>
      </c>
      <c r="F22" s="32">
        <v>9.216430790472899</v>
      </c>
      <c r="G22" s="32"/>
      <c r="H22" s="1"/>
      <c r="I22" s="1"/>
      <c r="J22" s="1"/>
      <c r="K22" s="1"/>
      <c r="L22" s="1"/>
      <c r="M22" s="1"/>
      <c r="N22" s="1"/>
      <c r="O22" s="1"/>
      <c r="P22" s="1"/>
    </row>
    <row r="23" spans="1:7" ht="12.75">
      <c r="A23" s="42" t="s">
        <v>41</v>
      </c>
      <c r="B23" s="44">
        <v>3360</v>
      </c>
      <c r="C23" s="44">
        <v>694</v>
      </c>
      <c r="D23" s="44">
        <v>2666</v>
      </c>
      <c r="E23" s="32">
        <v>79.34523809523809</v>
      </c>
      <c r="F23" s="32">
        <v>0.08936550491509365</v>
      </c>
      <c r="G23" s="32"/>
    </row>
    <row r="24" spans="1:12" s="2" customFormat="1" ht="12.75" customHeight="1">
      <c r="A24" s="3" t="s">
        <v>6</v>
      </c>
      <c r="B24" s="44">
        <v>1034</v>
      </c>
      <c r="C24" s="44">
        <v>760</v>
      </c>
      <c r="D24" s="44">
        <v>274</v>
      </c>
      <c r="E24" s="32">
        <v>26.4990328820116</v>
      </c>
      <c r="F24" s="32">
        <v>-11.925042589437822</v>
      </c>
      <c r="G24" s="32"/>
      <c r="H24" s="1" t="s">
        <v>47</v>
      </c>
      <c r="I24" s="1"/>
      <c r="J24" s="1"/>
      <c r="K24" s="1"/>
      <c r="L24" s="1"/>
    </row>
    <row r="25" spans="1:6" ht="12.75" customHeight="1">
      <c r="A25" s="1" t="s">
        <v>52</v>
      </c>
      <c r="B25" s="44"/>
      <c r="C25" s="44"/>
      <c r="D25" s="44"/>
      <c r="E25" s="32"/>
      <c r="F25" s="35"/>
    </row>
    <row r="26" spans="1:16" s="10" customFormat="1" ht="12.75" customHeight="1">
      <c r="A26" s="3" t="s">
        <v>7</v>
      </c>
      <c r="B26" s="44"/>
      <c r="C26" s="44"/>
      <c r="D26" s="44"/>
      <c r="E26" s="32"/>
      <c r="F26" s="35"/>
      <c r="G26" s="31"/>
      <c r="H26" s="1"/>
      <c r="I26" s="1"/>
      <c r="J26" s="1"/>
      <c r="K26" s="1"/>
      <c r="L26" s="1"/>
      <c r="M26" s="8"/>
      <c r="N26" s="8"/>
      <c r="O26" s="8"/>
      <c r="P26" s="8"/>
    </row>
    <row r="27" spans="1:12" s="8" customFormat="1" ht="12.75" customHeight="1">
      <c r="A27" s="7" t="s">
        <v>14</v>
      </c>
      <c r="B27" s="44">
        <v>7072</v>
      </c>
      <c r="C27" s="44">
        <v>3832</v>
      </c>
      <c r="D27" s="44">
        <v>3240</v>
      </c>
      <c r="E27" s="32">
        <f>(D27/B27)*100</f>
        <v>45.81447963800905</v>
      </c>
      <c r="F27" s="35">
        <f>(B27/7337)*100-100</f>
        <v>-3.6118304484121495</v>
      </c>
      <c r="G27" s="1"/>
      <c r="H27" s="1"/>
      <c r="I27" s="1"/>
      <c r="J27" s="1"/>
      <c r="K27" s="1"/>
      <c r="L27" s="1"/>
    </row>
    <row r="28" spans="1:12" s="8" customFormat="1" ht="12.75" customHeight="1">
      <c r="A28" s="7" t="s">
        <v>12</v>
      </c>
      <c r="B28" s="44">
        <v>2950</v>
      </c>
      <c r="C28" s="44">
        <v>2259</v>
      </c>
      <c r="D28" s="44">
        <v>691</v>
      </c>
      <c r="E28" s="32">
        <f>(D28/B28)*100</f>
        <v>23.423728813559322</v>
      </c>
      <c r="F28" s="35">
        <f>(B28/3167)*100-100</f>
        <v>-6.851910325228928</v>
      </c>
      <c r="G28" s="1"/>
      <c r="H28" s="1"/>
      <c r="I28" s="1"/>
      <c r="J28" s="1"/>
      <c r="K28" s="1"/>
      <c r="L28" s="1"/>
    </row>
    <row r="29" spans="1:16" s="10" customFormat="1" ht="15.75" customHeight="1">
      <c r="A29" s="7" t="s">
        <v>13</v>
      </c>
      <c r="B29" s="44">
        <v>13160</v>
      </c>
      <c r="C29" s="44">
        <v>8241</v>
      </c>
      <c r="D29" s="44">
        <v>4919</v>
      </c>
      <c r="E29" s="32">
        <f>(D29/B29)*100</f>
        <v>37.37841945288754</v>
      </c>
      <c r="F29" s="35">
        <f>(B29/13137)*100-100</f>
        <v>0.17507802390196048</v>
      </c>
      <c r="G29" s="1"/>
      <c r="H29" s="1"/>
      <c r="I29" s="1"/>
      <c r="J29" s="1"/>
      <c r="K29" s="1"/>
      <c r="L29" s="1"/>
      <c r="M29" s="8"/>
      <c r="N29" s="8"/>
      <c r="O29" s="8"/>
      <c r="P29" s="8"/>
    </row>
    <row r="30" spans="1:6" ht="25.5">
      <c r="A30" s="41" t="s">
        <v>22</v>
      </c>
      <c r="B30" s="44">
        <v>3385</v>
      </c>
      <c r="C30" s="44">
        <v>1319</v>
      </c>
      <c r="D30" s="44">
        <v>2066</v>
      </c>
      <c r="E30" s="32">
        <f>(D30/B30)*100</f>
        <v>61.03397341211226</v>
      </c>
      <c r="F30" s="35">
        <f>(B30/3148)*100-100</f>
        <v>7.528589580686145</v>
      </c>
    </row>
    <row r="31" spans="1:12" s="8" customFormat="1" ht="12.75" customHeight="1">
      <c r="A31" s="3" t="s">
        <v>35</v>
      </c>
      <c r="B31" s="47"/>
      <c r="C31" s="47"/>
      <c r="D31" s="47"/>
      <c r="E31" s="49"/>
      <c r="F31" s="35"/>
      <c r="G31" s="56"/>
      <c r="H31" s="55"/>
      <c r="I31" s="55"/>
      <c r="J31" s="55"/>
      <c r="K31" s="54"/>
      <c r="L31" s="54"/>
    </row>
    <row r="32" spans="1:16" s="10" customFormat="1" ht="25.5">
      <c r="A32" s="78" t="s">
        <v>66</v>
      </c>
      <c r="B32" s="44">
        <v>1051</v>
      </c>
      <c r="C32" s="44">
        <v>517</v>
      </c>
      <c r="D32" s="44">
        <v>534</v>
      </c>
      <c r="E32" s="32">
        <v>50.8</v>
      </c>
      <c r="F32" s="51">
        <v>-48.073122529644266</v>
      </c>
      <c r="G32" s="56"/>
      <c r="H32" s="56"/>
      <c r="I32" s="57"/>
      <c r="J32" s="57"/>
      <c r="K32" s="57"/>
      <c r="L32" s="57"/>
      <c r="M32" s="8"/>
      <c r="N32" s="8"/>
      <c r="O32" s="8"/>
      <c r="P32" s="8"/>
    </row>
    <row r="33" spans="1:16" s="10" customFormat="1" ht="25.5">
      <c r="A33" s="9" t="s">
        <v>67</v>
      </c>
      <c r="B33" s="44">
        <v>12436</v>
      </c>
      <c r="C33" s="44">
        <v>5629</v>
      </c>
      <c r="D33" s="44">
        <v>6807</v>
      </c>
      <c r="E33" s="32">
        <v>54.7</v>
      </c>
      <c r="F33" s="51">
        <v>17.709417889256983</v>
      </c>
      <c r="G33" s="56"/>
      <c r="H33" s="56"/>
      <c r="I33" s="57"/>
      <c r="J33" s="57"/>
      <c r="K33" s="57"/>
      <c r="L33" s="57"/>
      <c r="M33" s="8"/>
      <c r="N33" s="8"/>
      <c r="O33" s="8"/>
      <c r="P33" s="8"/>
    </row>
    <row r="34" spans="1:16" s="10" customFormat="1" ht="25.5">
      <c r="A34" s="9" t="s">
        <v>68</v>
      </c>
      <c r="B34" s="44">
        <v>2699</v>
      </c>
      <c r="C34" s="44">
        <v>1233</v>
      </c>
      <c r="D34" s="44">
        <v>1466</v>
      </c>
      <c r="E34" s="32">
        <v>54.3</v>
      </c>
      <c r="F34" s="51">
        <v>29.697260932244113</v>
      </c>
      <c r="G34" s="56"/>
      <c r="H34" s="56"/>
      <c r="I34" s="57"/>
      <c r="J34" s="57"/>
      <c r="K34" s="57"/>
      <c r="L34" s="57"/>
      <c r="M34" s="8"/>
      <c r="N34" s="8"/>
      <c r="O34" s="8"/>
      <c r="P34" s="8"/>
    </row>
    <row r="35" spans="1:16" s="10" customFormat="1" ht="24.75" customHeight="1">
      <c r="A35" s="9" t="s">
        <v>19</v>
      </c>
      <c r="B35" s="44">
        <v>2207</v>
      </c>
      <c r="C35" s="44">
        <v>854</v>
      </c>
      <c r="D35" s="44">
        <v>1353</v>
      </c>
      <c r="E35" s="32">
        <v>61.3</v>
      </c>
      <c r="F35" s="51">
        <v>-33.64401683704149</v>
      </c>
      <c r="G35" s="56"/>
      <c r="H35" s="57"/>
      <c r="I35" s="57"/>
      <c r="J35" s="57"/>
      <c r="K35" s="57"/>
      <c r="L35" s="57"/>
      <c r="M35" s="8"/>
      <c r="N35" s="8"/>
      <c r="O35" s="8"/>
      <c r="P35" s="8"/>
    </row>
    <row r="36" spans="1:16" s="10" customFormat="1" ht="24.75" customHeight="1">
      <c r="A36" s="9" t="s">
        <v>30</v>
      </c>
      <c r="B36" s="44">
        <v>12519</v>
      </c>
      <c r="C36" s="44">
        <v>5952</v>
      </c>
      <c r="D36" s="44">
        <v>6567</v>
      </c>
      <c r="E36" s="32">
        <v>52.5</v>
      </c>
      <c r="F36" s="51">
        <v>8.539968787931333</v>
      </c>
      <c r="G36" s="56"/>
      <c r="H36" s="57"/>
      <c r="I36" s="57"/>
      <c r="J36" s="57"/>
      <c r="K36" s="57"/>
      <c r="L36" s="57"/>
      <c r="M36" s="8"/>
      <c r="N36" s="8"/>
      <c r="O36" s="8"/>
      <c r="P36" s="8"/>
    </row>
    <row r="37" spans="1:16" s="10" customFormat="1" ht="24.75" customHeight="1">
      <c r="A37" s="9" t="s">
        <v>31</v>
      </c>
      <c r="B37" s="44">
        <v>9478</v>
      </c>
      <c r="C37" s="44">
        <v>4709</v>
      </c>
      <c r="D37" s="44">
        <v>4769</v>
      </c>
      <c r="E37" s="32">
        <v>50.3</v>
      </c>
      <c r="F37" s="51">
        <v>19.04044209997488</v>
      </c>
      <c r="G37" s="56"/>
      <c r="H37" s="57"/>
      <c r="I37" s="57"/>
      <c r="J37" s="57"/>
      <c r="K37" s="57"/>
      <c r="L37" s="57"/>
      <c r="M37" s="8"/>
      <c r="N37" s="8"/>
      <c r="O37" s="8"/>
      <c r="P37" s="8"/>
    </row>
    <row r="38" spans="1:16" s="10" customFormat="1" ht="24.75" customHeight="1">
      <c r="A38" s="9" t="s">
        <v>15</v>
      </c>
      <c r="B38" s="44">
        <v>2187</v>
      </c>
      <c r="C38" s="44">
        <v>933</v>
      </c>
      <c r="D38" s="44">
        <v>1254</v>
      </c>
      <c r="E38" s="32">
        <v>57.3</v>
      </c>
      <c r="F38" s="51">
        <v>32.62583383869011</v>
      </c>
      <c r="G38" s="56"/>
      <c r="H38" s="57"/>
      <c r="I38" s="57"/>
      <c r="J38" s="57"/>
      <c r="K38" s="57"/>
      <c r="L38" s="57"/>
      <c r="M38" s="8"/>
      <c r="N38" s="8"/>
      <c r="O38" s="8"/>
      <c r="P38" s="8"/>
    </row>
    <row r="39" spans="1:12" s="2" customFormat="1" ht="24.75" customHeight="1">
      <c r="A39" s="9" t="s">
        <v>39</v>
      </c>
      <c r="B39" s="44">
        <v>114</v>
      </c>
      <c r="C39" s="44">
        <v>21</v>
      </c>
      <c r="D39" s="44">
        <v>93</v>
      </c>
      <c r="E39" s="32">
        <v>81.6</v>
      </c>
      <c r="F39" s="51">
        <v>20</v>
      </c>
      <c r="G39" s="56"/>
      <c r="H39" s="57"/>
      <c r="I39" s="57"/>
      <c r="J39" s="57"/>
      <c r="K39" s="57"/>
      <c r="L39" s="57"/>
    </row>
    <row r="40" spans="1:16" s="6" customFormat="1" ht="12.75">
      <c r="A40" s="1" t="s">
        <v>8</v>
      </c>
      <c r="B40" s="50"/>
      <c r="C40" s="50"/>
      <c r="D40" s="50"/>
      <c r="E40" s="51"/>
      <c r="F40" s="51"/>
      <c r="G40" s="1"/>
      <c r="H40" s="1"/>
      <c r="I40" s="1"/>
      <c r="J40" s="1"/>
      <c r="K40" s="54"/>
      <c r="L40" s="54"/>
      <c r="M40" s="1"/>
      <c r="N40" s="1"/>
      <c r="O40" s="1"/>
      <c r="P40" s="1"/>
    </row>
    <row r="41" spans="1:16" s="6" customFormat="1" ht="24.75" customHeight="1">
      <c r="A41" s="5" t="s">
        <v>20</v>
      </c>
      <c r="B41" s="50">
        <v>1295</v>
      </c>
      <c r="C41" s="44">
        <v>701</v>
      </c>
      <c r="D41" s="44">
        <v>594</v>
      </c>
      <c r="E41" s="32">
        <f>(D41/B41)*100</f>
        <v>45.86872586872587</v>
      </c>
      <c r="F41" s="51">
        <f>(B41/874)*100-100</f>
        <v>48.16933638443936</v>
      </c>
      <c r="G41" s="1"/>
      <c r="H41" s="1"/>
      <c r="I41" s="1"/>
      <c r="J41" s="1"/>
      <c r="K41" s="54"/>
      <c r="L41" s="54"/>
      <c r="M41" s="1"/>
      <c r="N41" s="1"/>
      <c r="O41" s="1"/>
      <c r="P41" s="1"/>
    </row>
    <row r="42" spans="1:16" s="6" customFormat="1" ht="24.75" customHeight="1">
      <c r="A42" s="5" t="s">
        <v>70</v>
      </c>
      <c r="B42" s="50">
        <v>464</v>
      </c>
      <c r="C42" s="44">
        <v>144</v>
      </c>
      <c r="D42" s="44">
        <v>320</v>
      </c>
      <c r="E42" s="32">
        <f>(D42/B42)*100</f>
        <v>68.96551724137932</v>
      </c>
      <c r="F42" s="51">
        <f>(B42/543)*100-100</f>
        <v>-14.548802946593</v>
      </c>
      <c r="G42" s="1"/>
      <c r="H42" s="56"/>
      <c r="I42" s="57"/>
      <c r="J42" s="57"/>
      <c r="K42" s="57"/>
      <c r="L42" s="57"/>
      <c r="M42" s="1"/>
      <c r="N42" s="1"/>
      <c r="O42" s="1"/>
      <c r="P42" s="1"/>
    </row>
    <row r="43" spans="1:12" ht="25.5">
      <c r="A43" s="5" t="s">
        <v>36</v>
      </c>
      <c r="B43" s="44">
        <v>2916</v>
      </c>
      <c r="C43" s="44">
        <v>1971</v>
      </c>
      <c r="D43" s="44">
        <v>945</v>
      </c>
      <c r="E43" s="32">
        <v>32.4</v>
      </c>
      <c r="F43" s="51">
        <v>7.009174311926605</v>
      </c>
      <c r="G43" s="56"/>
      <c r="H43" s="57"/>
      <c r="I43" s="57"/>
      <c r="J43" s="57"/>
      <c r="K43" s="57"/>
      <c r="L43" s="57"/>
    </row>
    <row r="44" spans="1:12" ht="25.5">
      <c r="A44" s="5" t="s">
        <v>40</v>
      </c>
      <c r="B44" s="44">
        <v>1500</v>
      </c>
      <c r="C44" s="44">
        <v>875</v>
      </c>
      <c r="D44" s="44">
        <v>625</v>
      </c>
      <c r="E44" s="32">
        <v>41.7</v>
      </c>
      <c r="F44" s="51">
        <v>0.2004008016032064</v>
      </c>
      <c r="G44" s="56"/>
      <c r="H44" s="57"/>
      <c r="I44" s="57"/>
      <c r="J44" s="57"/>
      <c r="K44" s="57"/>
      <c r="L44" s="57"/>
    </row>
    <row r="45" spans="1:12" ht="25.5">
      <c r="A45" s="5" t="s">
        <v>38</v>
      </c>
      <c r="B45" s="44">
        <v>232</v>
      </c>
      <c r="C45" s="44">
        <v>73</v>
      </c>
      <c r="D45" s="44">
        <v>159</v>
      </c>
      <c r="E45" s="32">
        <v>68.5</v>
      </c>
      <c r="F45" s="51">
        <v>-14.074074074074074</v>
      </c>
      <c r="G45" s="56"/>
      <c r="H45" s="57"/>
      <c r="I45" s="57"/>
      <c r="J45" s="57"/>
      <c r="K45" s="57"/>
      <c r="L45" s="57"/>
    </row>
    <row r="46" spans="1:12" ht="12.75" customHeight="1">
      <c r="A46" s="1" t="s">
        <v>3</v>
      </c>
      <c r="B46" s="44">
        <v>3494</v>
      </c>
      <c r="C46" s="44">
        <v>1983</v>
      </c>
      <c r="D46" s="44">
        <v>1511</v>
      </c>
      <c r="E46" s="32">
        <v>43.2</v>
      </c>
      <c r="F46" s="51">
        <v>-2.75996654586005</v>
      </c>
      <c r="G46" s="56"/>
      <c r="H46" s="57"/>
      <c r="I46" s="57"/>
      <c r="J46" s="57"/>
      <c r="K46" s="57"/>
      <c r="L46" s="57"/>
    </row>
    <row r="47" spans="1:6" ht="3.75" customHeight="1">
      <c r="A47" s="17"/>
      <c r="B47" s="19"/>
      <c r="C47" s="17"/>
      <c r="D47" s="17"/>
      <c r="E47" s="17"/>
      <c r="F47" s="52" t="e">
        <v>#DIV/0!</v>
      </c>
    </row>
    <row r="48" ht="12.75" customHeight="1">
      <c r="B48" s="31"/>
    </row>
    <row r="49" ht="12.75" customHeight="1">
      <c r="A49" s="1" t="s">
        <v>71</v>
      </c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54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5"/>
      <c r="F13" s="35"/>
    </row>
    <row r="14" spans="1:11" ht="12.75" customHeight="1">
      <c r="A14" s="3" t="s">
        <v>44</v>
      </c>
      <c r="B14" s="46">
        <v>18759</v>
      </c>
      <c r="C14" s="31">
        <v>7940</v>
      </c>
      <c r="D14" s="46">
        <v>10819</v>
      </c>
      <c r="E14" s="48">
        <v>57.67364998134229</v>
      </c>
      <c r="F14" s="48">
        <v>3.4636809883624693</v>
      </c>
      <c r="J14" s="39"/>
      <c r="K14" s="39"/>
    </row>
    <row r="15" spans="1:7" ht="12.75" customHeight="1">
      <c r="A15" s="3" t="s">
        <v>4</v>
      </c>
      <c r="B15" s="44">
        <v>12249</v>
      </c>
      <c r="C15" s="44">
        <v>6612</v>
      </c>
      <c r="D15" s="44">
        <v>5637</v>
      </c>
      <c r="E15" s="48">
        <v>46.02008327210385</v>
      </c>
      <c r="F15" s="35">
        <v>6.652154984762731</v>
      </c>
      <c r="G15" s="32"/>
    </row>
    <row r="16" spans="1:7" ht="12.75" customHeight="1">
      <c r="A16" s="3" t="s">
        <v>51</v>
      </c>
      <c r="B16" s="44">
        <v>1357</v>
      </c>
      <c r="C16" s="44">
        <v>212</v>
      </c>
      <c r="D16" s="44">
        <v>1145</v>
      </c>
      <c r="E16" s="48">
        <v>84.37730287398674</v>
      </c>
      <c r="F16" s="35">
        <v>34.75670307845084</v>
      </c>
      <c r="G16" s="32"/>
    </row>
    <row r="17" spans="1:7" ht="12.75" customHeight="1">
      <c r="A17" s="3" t="s">
        <v>57</v>
      </c>
      <c r="B17" s="44">
        <v>487</v>
      </c>
      <c r="C17" s="44">
        <v>286</v>
      </c>
      <c r="D17" s="44">
        <v>201</v>
      </c>
      <c r="E17" s="48">
        <v>41.27310061601643</v>
      </c>
      <c r="F17" s="35">
        <v>9.684684684684683</v>
      </c>
      <c r="G17" s="32"/>
    </row>
    <row r="18" spans="1:7" ht="12.75" customHeight="1">
      <c r="A18" s="58" t="s">
        <v>75</v>
      </c>
      <c r="B18" s="44">
        <v>155</v>
      </c>
      <c r="C18" s="44">
        <v>37</v>
      </c>
      <c r="D18" s="44">
        <v>118</v>
      </c>
      <c r="E18" s="48">
        <v>76.12903225806451</v>
      </c>
      <c r="F18" s="35">
        <v>-0.6410256410256352</v>
      </c>
      <c r="G18" s="32"/>
    </row>
    <row r="19" spans="1:7" s="6" customFormat="1" ht="12.75" customHeight="1">
      <c r="A19" s="3" t="s">
        <v>45</v>
      </c>
      <c r="B19" s="44">
        <v>59367</v>
      </c>
      <c r="C19" s="44">
        <v>33180</v>
      </c>
      <c r="D19" s="44">
        <v>26187</v>
      </c>
      <c r="E19" s="48">
        <v>44.11036434382738</v>
      </c>
      <c r="F19" s="35">
        <v>4.216624242956186</v>
      </c>
      <c r="G19" s="32"/>
    </row>
    <row r="20" spans="1:16" s="6" customFormat="1" ht="12.75" customHeight="1">
      <c r="A20" s="3" t="s">
        <v>46</v>
      </c>
      <c r="B20" s="44">
        <v>3690</v>
      </c>
      <c r="C20" s="44">
        <v>1883</v>
      </c>
      <c r="D20" s="44">
        <v>1807</v>
      </c>
      <c r="E20" s="48">
        <v>48.97018970189702</v>
      </c>
      <c r="F20" s="35">
        <v>31.550802139037415</v>
      </c>
      <c r="G20" s="32"/>
      <c r="H20" s="1"/>
      <c r="I20" s="1"/>
      <c r="J20" s="1"/>
      <c r="K20" s="1"/>
      <c r="L20" s="1"/>
      <c r="M20" s="1"/>
      <c r="N20" s="1"/>
      <c r="O20" s="1"/>
      <c r="P20" s="1"/>
    </row>
    <row r="21" spans="1:7" ht="12.75">
      <c r="A21" s="3" t="s">
        <v>42</v>
      </c>
      <c r="B21" s="44">
        <v>1026</v>
      </c>
      <c r="C21" s="44">
        <v>200</v>
      </c>
      <c r="D21" s="44">
        <v>826</v>
      </c>
      <c r="E21" s="48">
        <v>80.50682261208577</v>
      </c>
      <c r="F21" s="35">
        <v>-22.448979591836732</v>
      </c>
      <c r="G21" s="32"/>
    </row>
    <row r="22" spans="1:12" s="2" customFormat="1" ht="12.75" customHeight="1">
      <c r="A22" s="5" t="s">
        <v>5</v>
      </c>
      <c r="B22" s="44">
        <v>2897</v>
      </c>
      <c r="C22" s="44">
        <v>1450</v>
      </c>
      <c r="D22" s="44">
        <v>1447</v>
      </c>
      <c r="E22" s="48">
        <v>49.94822229892993</v>
      </c>
      <c r="F22" s="35">
        <v>8.909774436090217</v>
      </c>
      <c r="G22" s="32"/>
      <c r="H22" s="1" t="s">
        <v>47</v>
      </c>
      <c r="I22" s="1"/>
      <c r="J22" s="1"/>
      <c r="K22" s="1"/>
      <c r="L22" s="1"/>
    </row>
    <row r="23" spans="1:6" ht="12.75" customHeight="1">
      <c r="A23" s="42" t="s">
        <v>41</v>
      </c>
      <c r="B23" s="44">
        <v>3357</v>
      </c>
      <c r="C23" s="44">
        <v>636</v>
      </c>
      <c r="D23" s="44">
        <v>2721</v>
      </c>
      <c r="E23" s="48">
        <v>81.05451295799821</v>
      </c>
      <c r="F23" s="35">
        <v>-3.3400518283904432</v>
      </c>
    </row>
    <row r="24" spans="1:16" s="10" customFormat="1" ht="12.75" customHeight="1">
      <c r="A24" s="3" t="s">
        <v>6</v>
      </c>
      <c r="B24" s="44">
        <v>1174</v>
      </c>
      <c r="C24" s="44">
        <v>907</v>
      </c>
      <c r="D24" s="44">
        <v>267</v>
      </c>
      <c r="E24" s="48">
        <v>22.7427597955707</v>
      </c>
      <c r="F24" s="35">
        <v>-11.329305135951657</v>
      </c>
      <c r="G24" s="31"/>
      <c r="H24" s="1"/>
      <c r="I24" s="1"/>
      <c r="J24" s="1"/>
      <c r="K24" s="1"/>
      <c r="L24" s="1"/>
      <c r="M24" s="8"/>
      <c r="N24" s="8"/>
      <c r="O24" s="8"/>
      <c r="P24" s="8"/>
    </row>
    <row r="25" spans="1:12" s="8" customFormat="1" ht="12.75" customHeight="1">
      <c r="A25" s="1" t="s">
        <v>52</v>
      </c>
      <c r="B25" s="44"/>
      <c r="C25" s="44"/>
      <c r="D25" s="44"/>
      <c r="E25" s="32"/>
      <c r="F25" s="35"/>
      <c r="G25" s="1"/>
      <c r="H25" s="1"/>
      <c r="I25" s="1"/>
      <c r="J25" s="1"/>
      <c r="K25" s="1"/>
      <c r="L25" s="1"/>
    </row>
    <row r="26" spans="1:12" s="8" customFormat="1" ht="12.75" customHeight="1">
      <c r="A26" s="3" t="s">
        <v>7</v>
      </c>
      <c r="B26" s="44"/>
      <c r="C26" s="44"/>
      <c r="D26" s="44"/>
      <c r="E26" s="32"/>
      <c r="F26" s="35"/>
      <c r="G26" s="1"/>
      <c r="H26" s="1"/>
      <c r="I26" s="1"/>
      <c r="J26" s="1"/>
      <c r="K26" s="1"/>
      <c r="L26" s="1"/>
    </row>
    <row r="27" spans="1:16" s="10" customFormat="1" ht="15.75" customHeight="1">
      <c r="A27" s="7" t="s">
        <v>14</v>
      </c>
      <c r="B27" s="44">
        <v>7337</v>
      </c>
      <c r="C27" s="44">
        <v>3774</v>
      </c>
      <c r="D27" s="44">
        <v>3563</v>
      </c>
      <c r="E27" s="32">
        <f>(D27/B27)*100</f>
        <v>48.5620825950661</v>
      </c>
      <c r="F27" s="35">
        <f>(B27/7234)*100-100</f>
        <v>1.423831904893575</v>
      </c>
      <c r="G27" s="1"/>
      <c r="H27" s="1"/>
      <c r="I27" s="1"/>
      <c r="J27" s="1"/>
      <c r="K27" s="1"/>
      <c r="L27" s="1"/>
      <c r="M27" s="8"/>
      <c r="N27" s="8"/>
      <c r="O27" s="8"/>
      <c r="P27" s="8"/>
    </row>
    <row r="28" spans="1:6" ht="12.75">
      <c r="A28" s="7" t="s">
        <v>12</v>
      </c>
      <c r="B28" s="44">
        <v>3167</v>
      </c>
      <c r="C28" s="44">
        <v>2505</v>
      </c>
      <c r="D28" s="44">
        <v>662</v>
      </c>
      <c r="E28" s="32">
        <f>(D28/B28)*100</f>
        <v>20.903062835491003</v>
      </c>
      <c r="F28" s="35">
        <f>(B28/2664)*100-100</f>
        <v>18.881381381381374</v>
      </c>
    </row>
    <row r="29" spans="1:12" s="8" customFormat="1" ht="12.75" customHeight="1">
      <c r="A29" s="7" t="s">
        <v>13</v>
      </c>
      <c r="B29" s="44">
        <v>13137</v>
      </c>
      <c r="C29" s="44">
        <v>8028</v>
      </c>
      <c r="D29" s="44">
        <v>5109</v>
      </c>
      <c r="E29" s="32">
        <f>(D29/B29)*100</f>
        <v>38.89015757022151</v>
      </c>
      <c r="F29" s="35">
        <f>(B29/12188)*100-100</f>
        <v>7.78634722678045</v>
      </c>
      <c r="G29" s="56"/>
      <c r="H29" s="55"/>
      <c r="I29" s="55"/>
      <c r="J29" s="55"/>
      <c r="K29" s="54"/>
      <c r="L29" s="54"/>
    </row>
    <row r="30" spans="1:16" s="10" customFormat="1" ht="25.5">
      <c r="A30" s="41" t="s">
        <v>22</v>
      </c>
      <c r="B30" s="44">
        <v>3148</v>
      </c>
      <c r="C30" s="44">
        <v>857</v>
      </c>
      <c r="D30" s="44">
        <v>2291</v>
      </c>
      <c r="E30" s="32">
        <f>(D30/B30)*100</f>
        <v>72.77636594663278</v>
      </c>
      <c r="F30" s="35">
        <f>(B30/3993)*100-100</f>
        <v>-21.16203355872777</v>
      </c>
      <c r="G30" s="56"/>
      <c r="H30" s="56"/>
      <c r="I30" s="57"/>
      <c r="J30" s="57"/>
      <c r="K30" s="57"/>
      <c r="L30" s="57"/>
      <c r="M30" s="8"/>
      <c r="N30" s="8"/>
      <c r="O30" s="8"/>
      <c r="P30" s="8"/>
    </row>
    <row r="31" spans="1:16" s="10" customFormat="1" ht="24.75" customHeight="1">
      <c r="A31" s="3" t="s">
        <v>35</v>
      </c>
      <c r="B31" s="47"/>
      <c r="C31" s="47"/>
      <c r="D31" s="47"/>
      <c r="E31" s="49"/>
      <c r="F31" s="49"/>
      <c r="G31" s="56"/>
      <c r="H31" s="56"/>
      <c r="I31" s="57"/>
      <c r="J31" s="57"/>
      <c r="K31" s="57"/>
      <c r="L31" s="57"/>
      <c r="M31" s="8"/>
      <c r="N31" s="8"/>
      <c r="O31" s="8"/>
      <c r="P31" s="8"/>
    </row>
    <row r="32" spans="1:16" s="10" customFormat="1" ht="24.75" customHeight="1">
      <c r="A32" s="78" t="s">
        <v>66</v>
      </c>
      <c r="B32" s="44">
        <v>2024</v>
      </c>
      <c r="C32" s="44">
        <v>904</v>
      </c>
      <c r="D32" s="44">
        <v>1120</v>
      </c>
      <c r="E32" s="32">
        <v>55.3</v>
      </c>
      <c r="F32" s="51">
        <v>-42.63038548752834</v>
      </c>
      <c r="G32" s="56"/>
      <c r="H32" s="56"/>
      <c r="I32" s="57"/>
      <c r="J32" s="57"/>
      <c r="K32" s="57"/>
      <c r="L32" s="57"/>
      <c r="M32" s="8"/>
      <c r="N32" s="8"/>
      <c r="O32" s="8"/>
      <c r="P32" s="8"/>
    </row>
    <row r="33" spans="1:16" s="10" customFormat="1" ht="24.75" customHeight="1">
      <c r="A33" s="9" t="s">
        <v>67</v>
      </c>
      <c r="B33" s="44">
        <v>10565</v>
      </c>
      <c r="C33" s="44">
        <v>4962</v>
      </c>
      <c r="D33" s="44">
        <v>5603</v>
      </c>
      <c r="E33" s="32">
        <v>53</v>
      </c>
      <c r="F33" s="51">
        <v>14.811997391871332</v>
      </c>
      <c r="G33" s="56"/>
      <c r="H33" s="57"/>
      <c r="I33" s="57"/>
      <c r="J33" s="57"/>
      <c r="K33" s="57"/>
      <c r="L33" s="57"/>
      <c r="M33" s="8"/>
      <c r="N33" s="8"/>
      <c r="O33" s="8"/>
      <c r="P33" s="8"/>
    </row>
    <row r="34" spans="1:16" s="10" customFormat="1" ht="24.75" customHeight="1">
      <c r="A34" s="9" t="s">
        <v>68</v>
      </c>
      <c r="B34" s="44">
        <v>2081</v>
      </c>
      <c r="C34" s="44">
        <v>840</v>
      </c>
      <c r="D34" s="44">
        <v>1241</v>
      </c>
      <c r="E34" s="32">
        <v>59.6</v>
      </c>
      <c r="F34" s="51">
        <v>317.8714859437751</v>
      </c>
      <c r="G34" s="56"/>
      <c r="H34" s="57"/>
      <c r="I34" s="57"/>
      <c r="J34" s="57"/>
      <c r="K34" s="57"/>
      <c r="L34" s="57"/>
      <c r="M34" s="8"/>
      <c r="N34" s="8"/>
      <c r="O34" s="8"/>
      <c r="P34" s="8"/>
    </row>
    <row r="35" spans="1:16" s="10" customFormat="1" ht="24.75" customHeight="1">
      <c r="A35" s="9" t="s">
        <v>19</v>
      </c>
      <c r="B35" s="44">
        <v>3326</v>
      </c>
      <c r="C35" s="44">
        <v>1296</v>
      </c>
      <c r="D35" s="44">
        <v>2030</v>
      </c>
      <c r="E35" s="32">
        <v>61</v>
      </c>
      <c r="F35" s="51">
        <v>-24.09858512094934</v>
      </c>
      <c r="G35" s="56"/>
      <c r="H35" s="57"/>
      <c r="I35" s="57"/>
      <c r="J35" s="57"/>
      <c r="K35" s="57"/>
      <c r="L35" s="57"/>
      <c r="M35" s="8"/>
      <c r="N35" s="8"/>
      <c r="O35" s="8"/>
      <c r="P35" s="8"/>
    </row>
    <row r="36" spans="1:16" s="10" customFormat="1" ht="24.75" customHeight="1">
      <c r="A36" s="9" t="s">
        <v>30</v>
      </c>
      <c r="B36" s="44">
        <v>11536</v>
      </c>
      <c r="C36" s="44">
        <v>5560</v>
      </c>
      <c r="D36" s="44">
        <v>5976</v>
      </c>
      <c r="E36" s="32">
        <v>51.8</v>
      </c>
      <c r="F36" s="51">
        <v>13.345125786163523</v>
      </c>
      <c r="G36" s="56"/>
      <c r="H36" s="57"/>
      <c r="I36" s="57"/>
      <c r="J36" s="57"/>
      <c r="K36" s="57"/>
      <c r="L36" s="57"/>
      <c r="M36" s="8"/>
      <c r="N36" s="8"/>
      <c r="O36" s="8"/>
      <c r="P36" s="8"/>
    </row>
    <row r="37" spans="1:12" s="2" customFormat="1" ht="24.75" customHeight="1">
      <c r="A37" s="9" t="s">
        <v>31</v>
      </c>
      <c r="B37" s="44">
        <v>7961</v>
      </c>
      <c r="C37" s="44">
        <v>4042</v>
      </c>
      <c r="D37" s="44">
        <v>3919</v>
      </c>
      <c r="E37" s="32">
        <v>49.2</v>
      </c>
      <c r="F37" s="51">
        <v>22.079116835326587</v>
      </c>
      <c r="G37" s="56"/>
      <c r="H37" s="57"/>
      <c r="I37" s="57"/>
      <c r="J37" s="57"/>
      <c r="K37" s="57"/>
      <c r="L37" s="57"/>
    </row>
    <row r="38" spans="1:16" s="6" customFormat="1" ht="25.5">
      <c r="A38" s="9" t="s">
        <v>15</v>
      </c>
      <c r="B38" s="44">
        <v>1651</v>
      </c>
      <c r="C38" s="44">
        <v>709</v>
      </c>
      <c r="D38" s="44">
        <v>942</v>
      </c>
      <c r="E38" s="32">
        <v>57.1</v>
      </c>
      <c r="F38" s="51">
        <v>17.701641684511063</v>
      </c>
      <c r="G38" s="1"/>
      <c r="H38" s="1"/>
      <c r="I38" s="1"/>
      <c r="J38" s="1"/>
      <c r="K38" s="54"/>
      <c r="L38" s="54"/>
      <c r="M38" s="1"/>
      <c r="N38" s="1"/>
      <c r="O38" s="1"/>
      <c r="P38" s="1"/>
    </row>
    <row r="39" spans="1:16" s="6" customFormat="1" ht="24.75" customHeight="1">
      <c r="A39" s="9" t="s">
        <v>39</v>
      </c>
      <c r="B39" s="44">
        <v>95</v>
      </c>
      <c r="C39" s="44">
        <v>28</v>
      </c>
      <c r="D39" s="44">
        <v>67</v>
      </c>
      <c r="E39" s="32">
        <v>70.5</v>
      </c>
      <c r="F39" s="32">
        <v>-5</v>
      </c>
      <c r="G39" s="1"/>
      <c r="H39" s="1"/>
      <c r="I39" s="1"/>
      <c r="J39" s="1"/>
      <c r="K39" s="54"/>
      <c r="L39" s="54"/>
      <c r="M39" s="1"/>
      <c r="N39" s="1"/>
      <c r="O39" s="1"/>
      <c r="P39" s="1"/>
    </row>
    <row r="40" spans="1:16" s="6" customFormat="1" ht="24.75" customHeight="1">
      <c r="A40" s="1" t="s">
        <v>8</v>
      </c>
      <c r="B40" s="50"/>
      <c r="C40" s="50"/>
      <c r="D40" s="50"/>
      <c r="E40" s="51"/>
      <c r="F40" s="32"/>
      <c r="G40" s="1"/>
      <c r="H40" s="56"/>
      <c r="I40" s="57"/>
      <c r="J40" s="57"/>
      <c r="K40" s="57"/>
      <c r="L40" s="57"/>
      <c r="M40" s="1"/>
      <c r="N40" s="1"/>
      <c r="O40" s="1"/>
      <c r="P40" s="1"/>
    </row>
    <row r="41" spans="1:12" ht="25.5">
      <c r="A41" s="5" t="s">
        <v>20</v>
      </c>
      <c r="B41" s="50">
        <v>874</v>
      </c>
      <c r="C41" s="44">
        <v>609</v>
      </c>
      <c r="D41" s="44">
        <v>265</v>
      </c>
      <c r="E41" s="32">
        <f>(D41/B41)*100</f>
        <v>30.320366132723116</v>
      </c>
      <c r="F41" s="35">
        <f>(B41/521)*100-100</f>
        <v>67.75431861804222</v>
      </c>
      <c r="G41" s="56"/>
      <c r="H41" s="57"/>
      <c r="I41" s="57"/>
      <c r="J41" s="57"/>
      <c r="K41" s="57"/>
      <c r="L41" s="57"/>
    </row>
    <row r="42" spans="1:12" ht="25.5">
      <c r="A42" s="5" t="s">
        <v>70</v>
      </c>
      <c r="B42" s="50">
        <v>543</v>
      </c>
      <c r="C42" s="44">
        <v>144</v>
      </c>
      <c r="D42" s="44">
        <v>399</v>
      </c>
      <c r="E42" s="32">
        <f>(D42/B42)*100</f>
        <v>73.48066298342542</v>
      </c>
      <c r="F42" s="35">
        <f>(B42/648)*100-100</f>
        <v>-16.20370370370371</v>
      </c>
      <c r="G42" s="56"/>
      <c r="H42" s="57"/>
      <c r="I42" s="57"/>
      <c r="J42" s="57"/>
      <c r="K42" s="57"/>
      <c r="L42" s="57"/>
    </row>
    <row r="43" spans="1:12" ht="25.5">
      <c r="A43" s="5" t="s">
        <v>36</v>
      </c>
      <c r="B43" s="44">
        <v>2725</v>
      </c>
      <c r="C43" s="44">
        <v>1963</v>
      </c>
      <c r="D43" s="44">
        <v>762</v>
      </c>
      <c r="E43" s="32">
        <v>28</v>
      </c>
      <c r="F43" s="51">
        <v>5.415860735009671</v>
      </c>
      <c r="G43" s="56"/>
      <c r="H43" s="57"/>
      <c r="I43" s="57"/>
      <c r="J43" s="57"/>
      <c r="K43" s="57"/>
      <c r="L43" s="57"/>
    </row>
    <row r="44" spans="1:12" ht="25.5">
      <c r="A44" s="5" t="s">
        <v>40</v>
      </c>
      <c r="B44" s="44">
        <v>1497</v>
      </c>
      <c r="C44" s="44">
        <v>910</v>
      </c>
      <c r="D44" s="44">
        <v>587</v>
      </c>
      <c r="E44" s="32">
        <v>39.2</v>
      </c>
      <c r="F44" s="51">
        <v>12.641083521444695</v>
      </c>
      <c r="G44" s="56"/>
      <c r="H44" s="57"/>
      <c r="I44" s="57"/>
      <c r="J44" s="57"/>
      <c r="K44" s="57"/>
      <c r="L44" s="57"/>
    </row>
    <row r="45" spans="1:12" ht="25.5">
      <c r="A45" s="5" t="s">
        <v>38</v>
      </c>
      <c r="B45" s="44">
        <v>270</v>
      </c>
      <c r="C45" s="44">
        <v>80</v>
      </c>
      <c r="D45" s="44">
        <v>190</v>
      </c>
      <c r="E45" s="32">
        <v>70.4</v>
      </c>
      <c r="F45" s="32">
        <v>-5.923344947735192</v>
      </c>
      <c r="G45" s="56"/>
      <c r="H45" s="57"/>
      <c r="I45" s="57"/>
      <c r="J45" s="57"/>
      <c r="K45" s="57"/>
      <c r="L45" s="57"/>
    </row>
    <row r="46" spans="1:12" ht="12.75" customHeight="1">
      <c r="A46" s="1" t="s">
        <v>3</v>
      </c>
      <c r="B46" s="44">
        <v>3593</v>
      </c>
      <c r="C46" s="44">
        <v>2035</v>
      </c>
      <c r="D46" s="44">
        <v>1558</v>
      </c>
      <c r="E46" s="32">
        <v>43.4</v>
      </c>
      <c r="F46" s="51">
        <v>4.760514018691589</v>
      </c>
      <c r="G46" s="56"/>
      <c r="H46" s="57"/>
      <c r="I46" s="57"/>
      <c r="J46" s="57"/>
      <c r="K46" s="57"/>
      <c r="L46" s="57"/>
    </row>
    <row r="47" spans="1:6" ht="3.75" customHeight="1">
      <c r="A47" s="17"/>
      <c r="B47" s="19"/>
      <c r="C47" s="17"/>
      <c r="D47" s="17"/>
      <c r="E47" s="17"/>
      <c r="F47" s="52" t="e">
        <v>#DIV/0!</v>
      </c>
    </row>
    <row r="48" ht="12.75" customHeight="1">
      <c r="B48" s="31"/>
    </row>
    <row r="49" ht="12.75" customHeight="1">
      <c r="A49" s="1" t="s">
        <v>71</v>
      </c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5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50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5"/>
      <c r="F13" s="35"/>
    </row>
    <row r="14" spans="1:11" ht="12.75" customHeight="1">
      <c r="A14" s="3" t="s">
        <v>44</v>
      </c>
      <c r="B14" s="46">
        <v>18131</v>
      </c>
      <c r="C14" s="31">
        <v>7682</v>
      </c>
      <c r="D14" s="46">
        <v>10449</v>
      </c>
      <c r="E14" s="48">
        <f>(D14/B14)*100</f>
        <v>57.630577464011914</v>
      </c>
      <c r="F14" s="48">
        <f>(B14/17979)*100-100</f>
        <v>0.8454307803548602</v>
      </c>
      <c r="J14" s="39"/>
      <c r="K14" s="39"/>
    </row>
    <row r="15" spans="1:6" ht="12.75" customHeight="1">
      <c r="A15" s="3" t="s">
        <v>4</v>
      </c>
      <c r="B15" s="44">
        <v>11485</v>
      </c>
      <c r="C15" s="44">
        <v>6394</v>
      </c>
      <c r="D15" s="44">
        <v>5091</v>
      </c>
      <c r="E15" s="48">
        <f>(D15/B15)*100</f>
        <v>44.32738354375272</v>
      </c>
      <c r="F15" s="35">
        <f>(B15/10946)*100-100</f>
        <v>4.924173213959435</v>
      </c>
    </row>
    <row r="16" spans="1:6" ht="12.75" customHeight="1">
      <c r="A16" s="3" t="s">
        <v>51</v>
      </c>
      <c r="B16" s="44">
        <v>1007</v>
      </c>
      <c r="C16" s="44">
        <v>175</v>
      </c>
      <c r="D16" s="44">
        <v>832</v>
      </c>
      <c r="E16" s="48">
        <f>(D16/B16)*100</f>
        <v>82.62164846077458</v>
      </c>
      <c r="F16" s="35">
        <f>(B16/516)*100-100</f>
        <v>95.15503875968992</v>
      </c>
    </row>
    <row r="17" spans="1:6" ht="12.75" customHeight="1">
      <c r="A17" s="3" t="s">
        <v>57</v>
      </c>
      <c r="B17" s="44">
        <v>444</v>
      </c>
      <c r="C17" s="44">
        <v>267</v>
      </c>
      <c r="D17" s="44">
        <v>177</v>
      </c>
      <c r="E17" s="48">
        <f aca="true" t="shared" si="0" ref="E17:E23">(D17/B17)*100</f>
        <v>39.86486486486486</v>
      </c>
      <c r="F17" s="35">
        <f>(B17/469)*100-100</f>
        <v>-5.330490405117274</v>
      </c>
    </row>
    <row r="18" spans="1:6" ht="12.75" customHeight="1">
      <c r="A18" s="58" t="s">
        <v>75</v>
      </c>
      <c r="B18" s="44">
        <v>156</v>
      </c>
      <c r="C18" s="44">
        <v>31</v>
      </c>
      <c r="D18" s="44">
        <v>125</v>
      </c>
      <c r="E18" s="48">
        <f t="shared" si="0"/>
        <v>80.12820512820514</v>
      </c>
      <c r="F18" s="35">
        <f>(B18/100)*100-100</f>
        <v>56</v>
      </c>
    </row>
    <row r="19" spans="1:6" s="6" customFormat="1" ht="12.75" customHeight="1">
      <c r="A19" s="3" t="s">
        <v>45</v>
      </c>
      <c r="B19" s="44">
        <v>56965</v>
      </c>
      <c r="C19" s="44">
        <v>31851</v>
      </c>
      <c r="D19" s="44">
        <v>25114</v>
      </c>
      <c r="E19" s="48">
        <f t="shared" si="0"/>
        <v>44.08671991573773</v>
      </c>
      <c r="F19" s="35">
        <f>(B19/54640)*100-100</f>
        <v>4.2551244509516835</v>
      </c>
    </row>
    <row r="20" spans="1:16" s="6" customFormat="1" ht="12.75" customHeight="1">
      <c r="A20" s="3" t="s">
        <v>46</v>
      </c>
      <c r="B20" s="44">
        <v>2805</v>
      </c>
      <c r="C20" s="44">
        <v>1357</v>
      </c>
      <c r="D20" s="44">
        <v>1448</v>
      </c>
      <c r="E20" s="48">
        <f t="shared" si="0"/>
        <v>51.62210338680927</v>
      </c>
      <c r="F20" s="35">
        <f>(B20/2436)*100-100</f>
        <v>15.147783251231516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6" ht="12.75">
      <c r="A21" s="3" t="s">
        <v>42</v>
      </c>
      <c r="B21" s="44">
        <v>1323</v>
      </c>
      <c r="C21" s="44">
        <v>286</v>
      </c>
      <c r="D21" s="44">
        <v>1037</v>
      </c>
      <c r="E21" s="48">
        <f t="shared" si="0"/>
        <v>78.38246409674981</v>
      </c>
      <c r="F21" s="35">
        <f>(B21/1840)*100-100</f>
        <v>-28.09782608695653</v>
      </c>
    </row>
    <row r="22" spans="1:12" s="2" customFormat="1" ht="12.75" customHeight="1">
      <c r="A22" s="5" t="s">
        <v>5</v>
      </c>
      <c r="B22" s="44">
        <v>2660</v>
      </c>
      <c r="C22" s="44">
        <v>1306</v>
      </c>
      <c r="D22" s="44">
        <v>1354</v>
      </c>
      <c r="E22" s="48">
        <f t="shared" si="0"/>
        <v>50.902255639097746</v>
      </c>
      <c r="F22" s="35">
        <f>(B22/2555)*100-100</f>
        <v>4.109589041095887</v>
      </c>
      <c r="G22" s="31"/>
      <c r="H22" s="1" t="s">
        <v>47</v>
      </c>
      <c r="I22" s="1"/>
      <c r="J22" s="1"/>
      <c r="K22" s="1"/>
      <c r="L22" s="1"/>
    </row>
    <row r="23" spans="1:6" ht="12.75" customHeight="1">
      <c r="A23" s="42" t="s">
        <v>41</v>
      </c>
      <c r="B23" s="44">
        <v>3473</v>
      </c>
      <c r="C23" s="44">
        <v>728</v>
      </c>
      <c r="D23" s="44">
        <v>2745</v>
      </c>
      <c r="E23" s="48">
        <f t="shared" si="0"/>
        <v>79.03829542182551</v>
      </c>
      <c r="F23" s="35">
        <f>(B23/3602)*100-100</f>
        <v>-3.5813436979455844</v>
      </c>
    </row>
    <row r="24" spans="1:16" s="10" customFormat="1" ht="12.75" customHeight="1">
      <c r="A24" s="3" t="s">
        <v>6</v>
      </c>
      <c r="B24" s="44">
        <v>1324</v>
      </c>
      <c r="C24" s="44">
        <v>1027</v>
      </c>
      <c r="D24" s="44">
        <v>297</v>
      </c>
      <c r="E24" s="48">
        <f>(D24/B24)*100</f>
        <v>22.432024169184288</v>
      </c>
      <c r="F24" s="35">
        <f>(B24/1574)*100-100</f>
        <v>-15.88310038119441</v>
      </c>
      <c r="G24" s="31"/>
      <c r="H24" s="1"/>
      <c r="I24" s="1"/>
      <c r="J24" s="1"/>
      <c r="K24" s="1"/>
      <c r="L24" s="1"/>
      <c r="M24" s="8"/>
      <c r="N24" s="8"/>
      <c r="O24" s="8"/>
      <c r="P24" s="8"/>
    </row>
    <row r="25" spans="1:12" s="8" customFormat="1" ht="12.75" customHeight="1">
      <c r="A25" s="1" t="s">
        <v>52</v>
      </c>
      <c r="B25" s="44"/>
      <c r="C25" s="44"/>
      <c r="D25" s="44"/>
      <c r="E25" s="32"/>
      <c r="F25" s="35"/>
      <c r="G25" s="1"/>
      <c r="H25" s="1"/>
      <c r="I25" s="1"/>
      <c r="J25" s="1"/>
      <c r="K25" s="1"/>
      <c r="L25" s="1"/>
    </row>
    <row r="26" spans="1:12" s="8" customFormat="1" ht="12.75" customHeight="1">
      <c r="A26" s="3" t="s">
        <v>7</v>
      </c>
      <c r="B26" s="44"/>
      <c r="C26" s="44"/>
      <c r="D26" s="44"/>
      <c r="E26" s="32"/>
      <c r="F26" s="35"/>
      <c r="G26" s="1"/>
      <c r="H26" s="1"/>
      <c r="I26" s="1"/>
      <c r="J26" s="1"/>
      <c r="K26" s="1"/>
      <c r="L26" s="1"/>
    </row>
    <row r="27" spans="1:16" s="10" customFormat="1" ht="15.75" customHeight="1">
      <c r="A27" s="7" t="s">
        <v>14</v>
      </c>
      <c r="B27" s="44">
        <v>7234</v>
      </c>
      <c r="C27" s="44">
        <v>3592</v>
      </c>
      <c r="D27" s="44">
        <v>3642</v>
      </c>
      <c r="E27" s="32">
        <f>(D27/B27)*100</f>
        <v>50.34559026817805</v>
      </c>
      <c r="F27" s="35">
        <f>(B27/4132)*100-100</f>
        <v>75.0726040658277</v>
      </c>
      <c r="G27" s="1"/>
      <c r="H27" s="1"/>
      <c r="I27" s="1"/>
      <c r="J27" s="1"/>
      <c r="K27" s="1"/>
      <c r="L27" s="1"/>
      <c r="M27" s="8"/>
      <c r="N27" s="8"/>
      <c r="O27" s="8"/>
      <c r="P27" s="8"/>
    </row>
    <row r="28" spans="1:6" ht="12.75">
      <c r="A28" s="7" t="s">
        <v>12</v>
      </c>
      <c r="B28" s="44">
        <v>2664</v>
      </c>
      <c r="C28" s="44">
        <v>2175</v>
      </c>
      <c r="D28" s="44">
        <v>489</v>
      </c>
      <c r="E28" s="32">
        <f>(D28/B28)*100</f>
        <v>18.355855855855857</v>
      </c>
      <c r="F28" s="35">
        <f>(B28/2818)*100-100</f>
        <v>-5.464868701206527</v>
      </c>
    </row>
    <row r="29" spans="1:12" s="8" customFormat="1" ht="12.75" customHeight="1">
      <c r="A29" s="7" t="s">
        <v>13</v>
      </c>
      <c r="B29" s="44">
        <v>12188</v>
      </c>
      <c r="C29" s="44">
        <v>7601</v>
      </c>
      <c r="D29" s="44">
        <v>4587</v>
      </c>
      <c r="E29" s="32">
        <f>(D29/B29)*100</f>
        <v>37.63537906137184</v>
      </c>
      <c r="F29" s="35">
        <f>(B29/12467)*100-100</f>
        <v>-2.2379080773241355</v>
      </c>
      <c r="G29" s="56"/>
      <c r="H29" s="55"/>
      <c r="I29" s="55"/>
      <c r="J29" s="55"/>
      <c r="K29" s="54"/>
      <c r="L29" s="54"/>
    </row>
    <row r="30" spans="1:16" s="10" customFormat="1" ht="25.5">
      <c r="A30" s="41" t="s">
        <v>22</v>
      </c>
      <c r="B30" s="44">
        <v>3993</v>
      </c>
      <c r="C30" s="44">
        <v>1276</v>
      </c>
      <c r="D30" s="44">
        <v>2717</v>
      </c>
      <c r="E30" s="32">
        <f>(D30/B30)*100</f>
        <v>68.04407713498622</v>
      </c>
      <c r="F30" s="35">
        <f>(B30/6869)*100-100</f>
        <v>-41.86926772455961</v>
      </c>
      <c r="G30" s="56"/>
      <c r="H30" s="56"/>
      <c r="I30" s="57"/>
      <c r="J30" s="57"/>
      <c r="K30" s="57"/>
      <c r="L30" s="57"/>
      <c r="M30" s="8"/>
      <c r="N30" s="8"/>
      <c r="O30" s="8"/>
      <c r="P30" s="8"/>
    </row>
    <row r="31" spans="1:16" s="10" customFormat="1" ht="12.75">
      <c r="A31" s="3" t="s">
        <v>35</v>
      </c>
      <c r="B31" s="47"/>
      <c r="C31" s="47"/>
      <c r="D31" s="47"/>
      <c r="E31" s="49"/>
      <c r="F31" s="49"/>
      <c r="G31" s="56"/>
      <c r="H31" s="56"/>
      <c r="I31" s="57"/>
      <c r="J31" s="57"/>
      <c r="K31" s="57"/>
      <c r="L31" s="57"/>
      <c r="M31" s="8"/>
      <c r="N31" s="8"/>
      <c r="O31" s="8"/>
      <c r="P31" s="8"/>
    </row>
    <row r="32" spans="1:16" s="10" customFormat="1" ht="25.5">
      <c r="A32" s="78" t="s">
        <v>66</v>
      </c>
      <c r="B32" s="44">
        <v>3528</v>
      </c>
      <c r="C32" s="44">
        <v>1747</v>
      </c>
      <c r="D32" s="44">
        <v>1781</v>
      </c>
      <c r="E32" s="32">
        <v>50.5</v>
      </c>
      <c r="F32" s="32">
        <v>-50.10606703436572</v>
      </c>
      <c r="G32" s="56"/>
      <c r="H32" s="56"/>
      <c r="I32" s="57"/>
      <c r="J32" s="57"/>
      <c r="K32" s="57"/>
      <c r="L32" s="57"/>
      <c r="M32" s="8"/>
      <c r="N32" s="8"/>
      <c r="O32" s="8"/>
      <c r="P32" s="8"/>
    </row>
    <row r="33" spans="1:16" s="10" customFormat="1" ht="24.75" customHeight="1">
      <c r="A33" s="9" t="s">
        <v>67</v>
      </c>
      <c r="B33" s="44">
        <v>9202</v>
      </c>
      <c r="C33" s="44">
        <v>4464</v>
      </c>
      <c r="D33" s="44">
        <v>4738</v>
      </c>
      <c r="E33" s="32">
        <v>51.5</v>
      </c>
      <c r="F33" s="32">
        <v>58.54583046175051</v>
      </c>
      <c r="G33" s="56"/>
      <c r="H33" s="57"/>
      <c r="I33" s="57"/>
      <c r="J33" s="57"/>
      <c r="K33" s="57"/>
      <c r="L33" s="57"/>
      <c r="M33" s="8"/>
      <c r="N33" s="8"/>
      <c r="O33" s="8"/>
      <c r="P33" s="8"/>
    </row>
    <row r="34" spans="1:16" s="10" customFormat="1" ht="24.75" customHeight="1">
      <c r="A34" s="9" t="s">
        <v>68</v>
      </c>
      <c r="B34" s="44">
        <v>498</v>
      </c>
      <c r="C34" s="44">
        <v>139</v>
      </c>
      <c r="D34" s="44">
        <v>359</v>
      </c>
      <c r="E34" s="32">
        <v>72.1</v>
      </c>
      <c r="F34" s="32">
        <v>37.95013850415512</v>
      </c>
      <c r="G34" s="56"/>
      <c r="H34" s="57"/>
      <c r="I34" s="57"/>
      <c r="J34" s="57"/>
      <c r="K34" s="57"/>
      <c r="L34" s="57"/>
      <c r="M34" s="8"/>
      <c r="N34" s="8"/>
      <c r="O34" s="8"/>
      <c r="P34" s="8"/>
    </row>
    <row r="35" spans="1:16" s="10" customFormat="1" ht="24.75" customHeight="1">
      <c r="A35" s="9" t="s">
        <v>19</v>
      </c>
      <c r="B35" s="44">
        <v>4382</v>
      </c>
      <c r="C35" s="44">
        <v>1742</v>
      </c>
      <c r="D35" s="44">
        <v>2640</v>
      </c>
      <c r="E35" s="32">
        <v>60.2</v>
      </c>
      <c r="F35" s="32">
        <v>-26.72240802675585</v>
      </c>
      <c r="G35" s="56"/>
      <c r="H35" s="57"/>
      <c r="I35" s="57"/>
      <c r="J35" s="57"/>
      <c r="K35" s="57"/>
      <c r="L35" s="57"/>
      <c r="M35" s="8"/>
      <c r="N35" s="8"/>
      <c r="O35" s="8"/>
      <c r="P35" s="8"/>
    </row>
    <row r="36" spans="1:16" s="10" customFormat="1" ht="24.75" customHeight="1">
      <c r="A36" s="9" t="s">
        <v>30</v>
      </c>
      <c r="B36" s="44">
        <v>10176</v>
      </c>
      <c r="C36" s="44">
        <v>4931</v>
      </c>
      <c r="D36" s="44">
        <v>5245</v>
      </c>
      <c r="E36" s="32">
        <v>51.5</v>
      </c>
      <c r="F36" s="32">
        <v>17.10011507479862</v>
      </c>
      <c r="G36" s="56"/>
      <c r="H36" s="57"/>
      <c r="I36" s="57"/>
      <c r="J36" s="57"/>
      <c r="K36" s="57"/>
      <c r="L36" s="57"/>
      <c r="M36" s="8"/>
      <c r="N36" s="8"/>
      <c r="O36" s="8"/>
      <c r="P36" s="8"/>
    </row>
    <row r="37" spans="1:12" s="2" customFormat="1" ht="24.75" customHeight="1">
      <c r="A37" s="9" t="s">
        <v>31</v>
      </c>
      <c r="B37" s="44">
        <v>6522</v>
      </c>
      <c r="C37" s="44">
        <v>3507</v>
      </c>
      <c r="D37" s="44">
        <v>3015</v>
      </c>
      <c r="E37" s="32">
        <v>46.2</v>
      </c>
      <c r="F37" s="32">
        <v>20.46545991872922</v>
      </c>
      <c r="G37" s="56"/>
      <c r="H37" s="57"/>
      <c r="I37" s="57"/>
      <c r="J37" s="57"/>
      <c r="K37" s="57"/>
      <c r="L37" s="57"/>
    </row>
    <row r="38" spans="1:16" s="6" customFormat="1" ht="25.5">
      <c r="A38" s="9" t="s">
        <v>15</v>
      </c>
      <c r="B38" s="44">
        <v>1401</v>
      </c>
      <c r="C38" s="44">
        <v>634</v>
      </c>
      <c r="D38" s="44">
        <v>767</v>
      </c>
      <c r="E38" s="32">
        <v>54.7</v>
      </c>
      <c r="F38" s="32">
        <v>11.190476190476192</v>
      </c>
      <c r="G38" s="1"/>
      <c r="H38" s="1"/>
      <c r="I38" s="1"/>
      <c r="J38" s="1"/>
      <c r="K38" s="54"/>
      <c r="L38" s="54"/>
      <c r="M38" s="1"/>
      <c r="N38" s="1"/>
      <c r="O38" s="1"/>
      <c r="P38" s="1"/>
    </row>
    <row r="39" spans="1:16" s="6" customFormat="1" ht="24.75" customHeight="1">
      <c r="A39" s="9" t="s">
        <v>39</v>
      </c>
      <c r="B39" s="44">
        <v>100</v>
      </c>
      <c r="C39" s="44">
        <v>31</v>
      </c>
      <c r="D39" s="44">
        <v>69</v>
      </c>
      <c r="E39" s="32">
        <v>69</v>
      </c>
      <c r="F39" s="32">
        <v>-25.925925925925924</v>
      </c>
      <c r="G39" s="1"/>
      <c r="H39" s="1"/>
      <c r="I39" s="1"/>
      <c r="J39" s="1"/>
      <c r="K39" s="54"/>
      <c r="L39" s="54"/>
      <c r="M39" s="1"/>
      <c r="N39" s="1"/>
      <c r="O39" s="1"/>
      <c r="P39" s="1"/>
    </row>
    <row r="40" spans="1:16" s="6" customFormat="1" ht="24.75" customHeight="1">
      <c r="A40" s="1" t="s">
        <v>8</v>
      </c>
      <c r="B40" s="50"/>
      <c r="C40" s="50"/>
      <c r="D40" s="50"/>
      <c r="E40" s="51"/>
      <c r="F40" s="32"/>
      <c r="G40" s="1"/>
      <c r="H40" s="56"/>
      <c r="I40" s="57"/>
      <c r="J40" s="57"/>
      <c r="K40" s="57"/>
      <c r="L40" s="57"/>
      <c r="M40" s="1"/>
      <c r="N40" s="1"/>
      <c r="O40" s="1"/>
      <c r="P40" s="1"/>
    </row>
    <row r="41" spans="1:12" ht="25.5">
      <c r="A41" s="5" t="s">
        <v>20</v>
      </c>
      <c r="B41" s="50">
        <v>521</v>
      </c>
      <c r="C41" s="50">
        <v>388</v>
      </c>
      <c r="D41" s="50">
        <v>133</v>
      </c>
      <c r="E41" s="32">
        <f>(D41/B41)*100</f>
        <v>25.5278310940499</v>
      </c>
      <c r="F41" s="35">
        <f>(B41/538)*100-100</f>
        <v>-3.1598513011152534</v>
      </c>
      <c r="G41" s="56"/>
      <c r="H41" s="57"/>
      <c r="I41" s="57"/>
      <c r="J41" s="57"/>
      <c r="K41" s="57"/>
      <c r="L41" s="57"/>
    </row>
    <row r="42" spans="1:12" ht="25.5">
      <c r="A42" s="5" t="s">
        <v>70</v>
      </c>
      <c r="B42" s="50">
        <v>648</v>
      </c>
      <c r="C42" s="50">
        <v>209</v>
      </c>
      <c r="D42" s="50">
        <v>439</v>
      </c>
      <c r="E42" s="32">
        <f>(D42/B42)*100</f>
        <v>67.74691358024691</v>
      </c>
      <c r="F42" s="35">
        <f>(B42/562)*100-100</f>
        <v>15.302491103202854</v>
      </c>
      <c r="G42" s="56"/>
      <c r="H42" s="57"/>
      <c r="I42" s="57"/>
      <c r="J42" s="57"/>
      <c r="K42" s="57"/>
      <c r="L42" s="57"/>
    </row>
    <row r="43" spans="1:12" ht="25.5">
      <c r="A43" s="5" t="s">
        <v>36</v>
      </c>
      <c r="B43" s="44">
        <v>2585</v>
      </c>
      <c r="C43" s="44">
        <v>1890</v>
      </c>
      <c r="D43" s="44">
        <v>695</v>
      </c>
      <c r="E43" s="32">
        <v>26.9</v>
      </c>
      <c r="F43" s="32">
        <v>14.228899690676094</v>
      </c>
      <c r="G43" s="56"/>
      <c r="H43" s="57"/>
      <c r="I43" s="57"/>
      <c r="J43" s="57"/>
      <c r="K43" s="57"/>
      <c r="L43" s="57"/>
    </row>
    <row r="44" spans="1:12" ht="25.5">
      <c r="A44" s="5" t="s">
        <v>40</v>
      </c>
      <c r="B44" s="44">
        <v>1328</v>
      </c>
      <c r="C44" s="44">
        <v>835</v>
      </c>
      <c r="D44" s="44">
        <v>493</v>
      </c>
      <c r="E44" s="32">
        <v>37.1</v>
      </c>
      <c r="F44" s="32">
        <v>12.818336162988114</v>
      </c>
      <c r="G44" s="56"/>
      <c r="H44" s="57"/>
      <c r="I44" s="57"/>
      <c r="J44" s="57"/>
      <c r="K44" s="57"/>
      <c r="L44" s="57"/>
    </row>
    <row r="45" spans="1:12" ht="25.5">
      <c r="A45" s="5" t="s">
        <v>38</v>
      </c>
      <c r="B45" s="44">
        <v>287</v>
      </c>
      <c r="C45" s="44">
        <v>95</v>
      </c>
      <c r="D45" s="44">
        <v>192</v>
      </c>
      <c r="E45" s="32">
        <v>66.9</v>
      </c>
      <c r="F45" s="32">
        <v>-38.675213675213676</v>
      </c>
      <c r="G45" s="56"/>
      <c r="H45" s="57"/>
      <c r="I45" s="57"/>
      <c r="J45" s="57"/>
      <c r="K45" s="57"/>
      <c r="L45" s="57"/>
    </row>
    <row r="46" spans="1:12" ht="12.75" customHeight="1">
      <c r="A46" s="1" t="s">
        <v>3</v>
      </c>
      <c r="B46" s="44">
        <v>3428</v>
      </c>
      <c r="C46" s="44">
        <v>1993</v>
      </c>
      <c r="D46" s="44">
        <v>1435</v>
      </c>
      <c r="E46" s="32">
        <v>41.9</v>
      </c>
      <c r="F46" s="32">
        <v>6.5</v>
      </c>
      <c r="G46" s="56"/>
      <c r="H46" s="57"/>
      <c r="I46" s="57"/>
      <c r="J46" s="57"/>
      <c r="K46" s="57"/>
      <c r="L46" s="57"/>
    </row>
    <row r="47" spans="1:6" ht="3.75" customHeight="1">
      <c r="A47" s="17"/>
      <c r="B47" s="19"/>
      <c r="C47" s="17"/>
      <c r="D47" s="17"/>
      <c r="E47" s="17"/>
      <c r="F47" s="52" t="e">
        <v>#DIV/0!</v>
      </c>
    </row>
    <row r="48" ht="12.75" customHeight="1">
      <c r="B48" s="31"/>
    </row>
    <row r="49" ht="12.75" customHeight="1">
      <c r="A49" s="1" t="s">
        <v>71</v>
      </c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49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5"/>
      <c r="F13" s="35"/>
    </row>
    <row r="14" spans="1:11" ht="12.75" customHeight="1">
      <c r="A14" s="3" t="s">
        <v>44</v>
      </c>
      <c r="B14" s="46">
        <v>17979</v>
      </c>
      <c r="C14" s="46">
        <v>7595</v>
      </c>
      <c r="D14" s="46">
        <v>10384</v>
      </c>
      <c r="E14" s="48">
        <f aca="true" t="shared" si="0" ref="E14:E24">(D14/B14)*100</f>
        <v>57.756271205295064</v>
      </c>
      <c r="F14" s="48">
        <f>(B14/17350)*100-100</f>
        <v>3.6253602305475567</v>
      </c>
      <c r="J14" s="39"/>
      <c r="K14" s="39"/>
    </row>
    <row r="15" spans="1:6" ht="12.75" customHeight="1">
      <c r="A15" s="3" t="s">
        <v>4</v>
      </c>
      <c r="B15" s="44">
        <v>10946</v>
      </c>
      <c r="C15" s="44">
        <v>6058</v>
      </c>
      <c r="D15" s="44">
        <v>4888</v>
      </c>
      <c r="E15" s="48">
        <f t="shared" si="0"/>
        <v>44.655581947743464</v>
      </c>
      <c r="F15" s="35">
        <f>(B15/10634)*100-100</f>
        <v>2.933985330073341</v>
      </c>
    </row>
    <row r="16" spans="1:6" ht="12.75" customHeight="1">
      <c r="A16" s="3" t="s">
        <v>51</v>
      </c>
      <c r="B16" s="44">
        <v>516</v>
      </c>
      <c r="C16" s="44">
        <v>114</v>
      </c>
      <c r="D16" s="44">
        <v>402</v>
      </c>
      <c r="E16" s="48">
        <f t="shared" si="0"/>
        <v>77.90697674418605</v>
      </c>
      <c r="F16" s="35"/>
    </row>
    <row r="17" spans="1:6" ht="12.75" customHeight="1">
      <c r="A17" s="3" t="s">
        <v>57</v>
      </c>
      <c r="B17" s="44">
        <v>469</v>
      </c>
      <c r="C17" s="44">
        <v>275</v>
      </c>
      <c r="D17" s="44">
        <v>194</v>
      </c>
      <c r="E17" s="48">
        <f t="shared" si="0"/>
        <v>41.36460554371002</v>
      </c>
      <c r="F17" s="35">
        <f>(B17/422)*100-100</f>
        <v>11.137440758293835</v>
      </c>
    </row>
    <row r="18" spans="1:6" ht="12.75" customHeight="1">
      <c r="A18" s="58" t="s">
        <v>75</v>
      </c>
      <c r="B18" s="44">
        <v>100</v>
      </c>
      <c r="C18" s="44">
        <v>38</v>
      </c>
      <c r="D18" s="44">
        <v>62</v>
      </c>
      <c r="E18" s="48">
        <f t="shared" si="0"/>
        <v>62</v>
      </c>
      <c r="F18" s="35">
        <f>(B18/232)*100-100</f>
        <v>-56.896551724137936</v>
      </c>
    </row>
    <row r="19" spans="1:6" s="6" customFormat="1" ht="12.75" customHeight="1">
      <c r="A19" s="3" t="s">
        <v>45</v>
      </c>
      <c r="B19" s="44">
        <v>54640</v>
      </c>
      <c r="C19" s="44">
        <v>31161</v>
      </c>
      <c r="D19" s="44">
        <v>23479</v>
      </c>
      <c r="E19" s="48">
        <f t="shared" si="0"/>
        <v>42.9703513909224</v>
      </c>
      <c r="F19" s="35">
        <f>(B19/50066)*100-100</f>
        <v>9.135940558462835</v>
      </c>
    </row>
    <row r="20" spans="1:6" s="6" customFormat="1" ht="12.75" customHeight="1">
      <c r="A20" s="3" t="s">
        <v>46</v>
      </c>
      <c r="B20" s="44">
        <v>2436</v>
      </c>
      <c r="C20" s="44">
        <v>954</v>
      </c>
      <c r="D20" s="44">
        <v>1482</v>
      </c>
      <c r="E20" s="48">
        <f t="shared" si="0"/>
        <v>60.83743842364532</v>
      </c>
      <c r="F20" s="35">
        <f>(B20/1591)*100-100</f>
        <v>53.11125078566937</v>
      </c>
    </row>
    <row r="21" spans="1:6" ht="12.75">
      <c r="A21" s="3" t="s">
        <v>42</v>
      </c>
      <c r="B21" s="44">
        <v>1840</v>
      </c>
      <c r="C21" s="44">
        <v>342</v>
      </c>
      <c r="D21" s="44">
        <v>1498</v>
      </c>
      <c r="E21" s="48">
        <f t="shared" si="0"/>
        <v>81.41304347826087</v>
      </c>
      <c r="F21" s="35">
        <f>(B21/2207)*100-100</f>
        <v>-16.62890801993656</v>
      </c>
    </row>
    <row r="22" spans="1:12" s="2" customFormat="1" ht="12.75" customHeight="1">
      <c r="A22" s="5" t="s">
        <v>5</v>
      </c>
      <c r="B22" s="44">
        <v>2555</v>
      </c>
      <c r="C22" s="44">
        <v>1291</v>
      </c>
      <c r="D22" s="44">
        <v>1264</v>
      </c>
      <c r="E22" s="48">
        <f t="shared" si="0"/>
        <v>49.471624266144815</v>
      </c>
      <c r="F22" s="35">
        <f>(B22/2516)*100-100</f>
        <v>1.550079491255957</v>
      </c>
      <c r="G22" s="31"/>
      <c r="H22" s="1" t="s">
        <v>47</v>
      </c>
      <c r="I22" s="1"/>
      <c r="J22" s="1"/>
      <c r="K22" s="1"/>
      <c r="L22" s="1"/>
    </row>
    <row r="23" spans="1:6" ht="12.75" customHeight="1">
      <c r="A23" s="42" t="s">
        <v>41</v>
      </c>
      <c r="B23" s="44">
        <v>3602</v>
      </c>
      <c r="C23" s="44">
        <v>673</v>
      </c>
      <c r="D23" s="44">
        <v>2929</v>
      </c>
      <c r="E23" s="48">
        <f t="shared" si="0"/>
        <v>81.31593559133815</v>
      </c>
      <c r="F23" s="35">
        <f>(B23/3503)*100-100</f>
        <v>2.8261490151299</v>
      </c>
    </row>
    <row r="24" spans="1:12" s="10" customFormat="1" ht="12.75" customHeight="1">
      <c r="A24" s="3" t="s">
        <v>6</v>
      </c>
      <c r="B24" s="44">
        <v>1574</v>
      </c>
      <c r="C24" s="44">
        <v>1316</v>
      </c>
      <c r="D24" s="44">
        <v>258</v>
      </c>
      <c r="E24" s="48">
        <f t="shared" si="0"/>
        <v>16.39135959339263</v>
      </c>
      <c r="F24" s="35">
        <f>(B24/1925)*100-100</f>
        <v>-18.233766233766232</v>
      </c>
      <c r="G24" s="43"/>
      <c r="H24" s="6"/>
      <c r="I24" s="6"/>
      <c r="J24" s="6"/>
      <c r="K24" s="6"/>
      <c r="L24" s="6"/>
    </row>
    <row r="25" spans="1:12" s="8" customFormat="1" ht="12.75" customHeight="1">
      <c r="A25" s="1" t="s">
        <v>52</v>
      </c>
      <c r="B25" s="44"/>
      <c r="C25" s="44"/>
      <c r="D25" s="44"/>
      <c r="E25" s="35"/>
      <c r="F25" s="35"/>
      <c r="G25" s="1"/>
      <c r="H25" s="1"/>
      <c r="I25" s="1"/>
      <c r="J25" s="1"/>
      <c r="K25" s="1"/>
      <c r="L25" s="1"/>
    </row>
    <row r="26" spans="1:12" s="8" customFormat="1" ht="12.75" customHeight="1">
      <c r="A26" s="3" t="s">
        <v>7</v>
      </c>
      <c r="B26" s="44"/>
      <c r="C26" s="44"/>
      <c r="D26" s="44"/>
      <c r="E26" s="35"/>
      <c r="F26" s="35"/>
      <c r="G26" s="1"/>
      <c r="H26" s="1"/>
      <c r="I26" s="1"/>
      <c r="J26" s="1"/>
      <c r="K26" s="1"/>
      <c r="L26" s="1"/>
    </row>
    <row r="27" spans="1:12" s="10" customFormat="1" ht="15.75" customHeight="1">
      <c r="A27" s="7" t="s">
        <v>14</v>
      </c>
      <c r="B27" s="44">
        <v>4132</v>
      </c>
      <c r="C27" s="44">
        <v>2827</v>
      </c>
      <c r="D27" s="44">
        <v>1305</v>
      </c>
      <c r="E27" s="35">
        <f>(D27/B27)*100</f>
        <v>31.58276863504356</v>
      </c>
      <c r="F27" s="35">
        <f>(B27/4081)*100-100</f>
        <v>1.2496937025238992</v>
      </c>
      <c r="G27" s="6"/>
      <c r="H27" s="6"/>
      <c r="I27" s="6"/>
      <c r="J27" s="6"/>
      <c r="K27" s="6"/>
      <c r="L27" s="6"/>
    </row>
    <row r="28" spans="1:6" ht="12.75">
      <c r="A28" s="7" t="s">
        <v>12</v>
      </c>
      <c r="B28" s="44">
        <v>2818</v>
      </c>
      <c r="C28" s="44">
        <v>2283</v>
      </c>
      <c r="D28" s="44">
        <v>535</v>
      </c>
      <c r="E28" s="35">
        <f>(D28/B28)*100</f>
        <v>18.985095812633073</v>
      </c>
      <c r="F28" s="35">
        <f>(B28/2563)*100-100</f>
        <v>9.949278189621552</v>
      </c>
    </row>
    <row r="29" spans="1:12" s="8" customFormat="1" ht="12.75" customHeight="1">
      <c r="A29" s="7" t="s">
        <v>13</v>
      </c>
      <c r="B29" s="44">
        <v>12467</v>
      </c>
      <c r="C29" s="44">
        <v>7671</v>
      </c>
      <c r="D29" s="44">
        <v>4796</v>
      </c>
      <c r="E29" s="35">
        <f>(D29/B29)*100</f>
        <v>38.46955963744285</v>
      </c>
      <c r="F29" s="35">
        <f>(B29/11723)*100-100</f>
        <v>6.346498336603261</v>
      </c>
      <c r="G29" s="56"/>
      <c r="H29" s="55"/>
      <c r="I29" s="55"/>
      <c r="J29" s="55"/>
      <c r="K29" s="54"/>
      <c r="L29" s="54"/>
    </row>
    <row r="30" spans="1:12" s="10" customFormat="1" ht="14.25" customHeight="1">
      <c r="A30" s="41" t="s">
        <v>22</v>
      </c>
      <c r="B30" s="44">
        <v>6869</v>
      </c>
      <c r="C30" s="44">
        <v>1695</v>
      </c>
      <c r="D30" s="44">
        <v>5174</v>
      </c>
      <c r="E30" s="35">
        <f>(D30/B30)*100</f>
        <v>75.32391905663124</v>
      </c>
      <c r="F30" s="35">
        <f>(B30/7326)*100-100</f>
        <v>-6.238056238056231</v>
      </c>
      <c r="G30" s="56"/>
      <c r="H30" s="55"/>
      <c r="I30" s="55"/>
      <c r="J30" s="55"/>
      <c r="K30" s="54"/>
      <c r="L30" s="54"/>
    </row>
    <row r="31" spans="1:12" s="10" customFormat="1" ht="12.75">
      <c r="A31" s="3" t="s">
        <v>35</v>
      </c>
      <c r="B31" s="44"/>
      <c r="C31" s="44"/>
      <c r="D31" s="44"/>
      <c r="E31" s="32"/>
      <c r="F31" s="32"/>
      <c r="G31" s="56"/>
      <c r="H31" s="56"/>
      <c r="I31" s="57"/>
      <c r="J31" s="57"/>
      <c r="K31" s="57"/>
      <c r="L31" s="57"/>
    </row>
    <row r="32" spans="1:12" s="10" customFormat="1" ht="25.5">
      <c r="A32" s="78" t="s">
        <v>66</v>
      </c>
      <c r="B32" s="44">
        <v>7071</v>
      </c>
      <c r="C32" s="44">
        <v>3708</v>
      </c>
      <c r="D32" s="44">
        <v>3363</v>
      </c>
      <c r="E32" s="32">
        <v>47.6</v>
      </c>
      <c r="F32" s="32">
        <v>-26.717794590112966</v>
      </c>
      <c r="G32" s="56"/>
      <c r="H32" s="56"/>
      <c r="I32" s="57"/>
      <c r="J32" s="57"/>
      <c r="K32" s="57"/>
      <c r="L32" s="57"/>
    </row>
    <row r="33" spans="1:12" s="10" customFormat="1" ht="25.5">
      <c r="A33" s="9" t="s">
        <v>67</v>
      </c>
      <c r="B33" s="44">
        <v>5804</v>
      </c>
      <c r="C33" s="44">
        <v>2608</v>
      </c>
      <c r="D33" s="44">
        <v>3196</v>
      </c>
      <c r="E33" s="32">
        <v>55.1</v>
      </c>
      <c r="F33" s="32">
        <v>209.7118463180363</v>
      </c>
      <c r="G33" s="56"/>
      <c r="H33" s="56"/>
      <c r="I33" s="57"/>
      <c r="J33" s="57"/>
      <c r="K33" s="57"/>
      <c r="L33" s="57"/>
    </row>
    <row r="34" spans="1:12" s="10" customFormat="1" ht="24.75" customHeight="1">
      <c r="A34" s="9" t="s">
        <v>68</v>
      </c>
      <c r="B34" s="44">
        <v>361</v>
      </c>
      <c r="C34" s="44">
        <v>94</v>
      </c>
      <c r="D34" s="44">
        <v>267</v>
      </c>
      <c r="E34" s="32">
        <v>74</v>
      </c>
      <c r="F34" s="32">
        <v>65.59633027522935</v>
      </c>
      <c r="G34" s="56"/>
      <c r="H34" s="57"/>
      <c r="I34" s="57"/>
      <c r="J34" s="57"/>
      <c r="K34" s="57"/>
      <c r="L34" s="57"/>
    </row>
    <row r="35" spans="1:12" s="10" customFormat="1" ht="24.75" customHeight="1">
      <c r="A35" s="9" t="s">
        <v>19</v>
      </c>
      <c r="B35" s="44">
        <v>5980</v>
      </c>
      <c r="C35" s="44">
        <v>2603</v>
      </c>
      <c r="D35" s="44">
        <v>3377</v>
      </c>
      <c r="E35" s="32">
        <v>56.5</v>
      </c>
      <c r="F35" s="32">
        <v>-13.870084977675356</v>
      </c>
      <c r="G35" s="56"/>
      <c r="H35" s="57"/>
      <c r="I35" s="57"/>
      <c r="J35" s="57"/>
      <c r="K35" s="57"/>
      <c r="L35" s="57"/>
    </row>
    <row r="36" spans="1:12" s="10" customFormat="1" ht="24.75" customHeight="1">
      <c r="A36" s="9" t="s">
        <v>30</v>
      </c>
      <c r="B36" s="44">
        <v>8691</v>
      </c>
      <c r="C36" s="44">
        <v>4306</v>
      </c>
      <c r="D36" s="44">
        <v>4385</v>
      </c>
      <c r="E36" s="32">
        <v>50.5</v>
      </c>
      <c r="F36" s="32">
        <v>21.267094613452414</v>
      </c>
      <c r="G36" s="56"/>
      <c r="H36" s="57"/>
      <c r="I36" s="57"/>
      <c r="J36" s="57"/>
      <c r="K36" s="57"/>
      <c r="L36" s="57"/>
    </row>
    <row r="37" spans="1:12" s="2" customFormat="1" ht="24.75" customHeight="1">
      <c r="A37" s="9" t="s">
        <v>31</v>
      </c>
      <c r="B37" s="44">
        <v>5413</v>
      </c>
      <c r="C37" s="44">
        <v>2959</v>
      </c>
      <c r="D37" s="44">
        <v>2454</v>
      </c>
      <c r="E37" s="32">
        <v>45.3</v>
      </c>
      <c r="F37" s="32">
        <v>49.434170576869995</v>
      </c>
      <c r="G37" s="56"/>
      <c r="H37" s="57"/>
      <c r="I37" s="57"/>
      <c r="J37" s="57"/>
      <c r="K37" s="57"/>
      <c r="L37" s="57"/>
    </row>
    <row r="38" spans="1:12" s="6" customFormat="1" ht="25.5">
      <c r="A38" s="9" t="s">
        <v>15</v>
      </c>
      <c r="B38" s="44">
        <v>1260</v>
      </c>
      <c r="C38" s="44">
        <v>611</v>
      </c>
      <c r="D38" s="44">
        <v>649</v>
      </c>
      <c r="E38" s="32">
        <v>51.5</v>
      </c>
      <c r="F38" s="32">
        <v>-5.223880597014925</v>
      </c>
      <c r="H38" s="57"/>
      <c r="I38" s="57"/>
      <c r="J38" s="57"/>
      <c r="K38" s="57"/>
      <c r="L38" s="57"/>
    </row>
    <row r="39" spans="1:12" s="6" customFormat="1" ht="24.75" customHeight="1">
      <c r="A39" s="9" t="s">
        <v>39</v>
      </c>
      <c r="B39" s="44">
        <v>135</v>
      </c>
      <c r="C39" s="44">
        <v>34</v>
      </c>
      <c r="D39" s="44">
        <v>101</v>
      </c>
      <c r="E39" s="32">
        <v>74.8</v>
      </c>
      <c r="F39" s="32">
        <v>-45.564516129032256</v>
      </c>
      <c r="K39" s="54"/>
      <c r="L39" s="54"/>
    </row>
    <row r="40" spans="1:12" s="6" customFormat="1" ht="24.75" customHeight="1">
      <c r="A40" s="1" t="s">
        <v>8</v>
      </c>
      <c r="B40" s="50"/>
      <c r="C40" s="50"/>
      <c r="D40" s="50"/>
      <c r="E40" s="51"/>
      <c r="F40" s="32"/>
      <c r="K40" s="54"/>
      <c r="L40" s="54"/>
    </row>
    <row r="41" spans="1:12" ht="25.5">
      <c r="A41" s="5" t="s">
        <v>20</v>
      </c>
      <c r="B41" s="44">
        <v>538</v>
      </c>
      <c r="C41" s="44">
        <v>464</v>
      </c>
      <c r="D41" s="44">
        <v>74</v>
      </c>
      <c r="E41" s="32">
        <f>(D41/B41)*100</f>
        <v>13.754646840148698</v>
      </c>
      <c r="F41" s="32">
        <f>(B41/320)*100-100</f>
        <v>68.125</v>
      </c>
      <c r="G41" s="56"/>
      <c r="H41" s="56"/>
      <c r="I41" s="57"/>
      <c r="J41" s="57"/>
      <c r="K41" s="57"/>
      <c r="L41" s="57"/>
    </row>
    <row r="42" spans="1:12" ht="25.5">
      <c r="A42" s="5" t="s">
        <v>70</v>
      </c>
      <c r="B42" s="44">
        <v>562</v>
      </c>
      <c r="C42" s="44">
        <v>170</v>
      </c>
      <c r="D42" s="44">
        <v>392</v>
      </c>
      <c r="E42" s="32">
        <f>(D42/B42)*100</f>
        <v>69.7508896797153</v>
      </c>
      <c r="F42" s="32">
        <f>(B42/744)*100-100</f>
        <v>-24.462365591397855</v>
      </c>
      <c r="G42" s="56"/>
      <c r="H42" s="57"/>
      <c r="I42" s="57"/>
      <c r="J42" s="57"/>
      <c r="K42" s="57"/>
      <c r="L42" s="57"/>
    </row>
    <row r="43" spans="1:12" ht="26.25" customHeight="1">
      <c r="A43" s="5" t="s">
        <v>36</v>
      </c>
      <c r="B43" s="44">
        <v>2263</v>
      </c>
      <c r="C43" s="44">
        <v>1699</v>
      </c>
      <c r="D43" s="44">
        <v>564</v>
      </c>
      <c r="E43" s="32">
        <v>24.9</v>
      </c>
      <c r="F43" s="32">
        <v>-6.564822460776218</v>
      </c>
      <c r="G43" s="56"/>
      <c r="H43" s="57"/>
      <c r="I43" s="57"/>
      <c r="J43" s="57"/>
      <c r="K43" s="57"/>
      <c r="L43" s="57"/>
    </row>
    <row r="44" spans="1:12" ht="26.25" customHeight="1">
      <c r="A44" s="5" t="s">
        <v>40</v>
      </c>
      <c r="B44" s="44">
        <v>1178</v>
      </c>
      <c r="C44" s="44">
        <v>749</v>
      </c>
      <c r="D44" s="44">
        <v>429</v>
      </c>
      <c r="E44" s="32">
        <v>36.4</v>
      </c>
      <c r="F44" s="32">
        <v>0.34071550255536626</v>
      </c>
      <c r="G44" s="56"/>
      <c r="H44" s="57"/>
      <c r="I44" s="57"/>
      <c r="J44" s="57"/>
      <c r="K44" s="57"/>
      <c r="L44" s="57"/>
    </row>
    <row r="45" spans="1:12" ht="26.25" customHeight="1">
      <c r="A45" s="5" t="s">
        <v>38</v>
      </c>
      <c r="B45" s="44">
        <v>468</v>
      </c>
      <c r="C45" s="44">
        <v>131</v>
      </c>
      <c r="D45" s="44">
        <v>337</v>
      </c>
      <c r="E45" s="32">
        <v>72</v>
      </c>
      <c r="F45" s="32">
        <v>-33.89830508474576</v>
      </c>
      <c r="G45" s="56"/>
      <c r="H45" s="57"/>
      <c r="I45" s="57"/>
      <c r="J45" s="57"/>
      <c r="K45" s="57"/>
      <c r="L45" s="57"/>
    </row>
    <row r="46" spans="1:12" ht="13.5" customHeight="1">
      <c r="A46" s="1" t="s">
        <v>3</v>
      </c>
      <c r="B46" s="44">
        <v>3220</v>
      </c>
      <c r="C46" s="44">
        <v>1889</v>
      </c>
      <c r="D46" s="44">
        <v>1331</v>
      </c>
      <c r="E46" s="32">
        <v>41.3</v>
      </c>
      <c r="F46" s="32">
        <v>-0.5</v>
      </c>
      <c r="H46" s="57"/>
      <c r="I46" s="57"/>
      <c r="J46" s="57"/>
      <c r="K46" s="57"/>
      <c r="L46" s="57"/>
    </row>
    <row r="47" spans="1:6" ht="3.75" customHeight="1">
      <c r="A47" s="17"/>
      <c r="B47" s="17"/>
      <c r="C47" s="17"/>
      <c r="D47" s="17"/>
      <c r="E47" s="17"/>
      <c r="F47" s="17"/>
    </row>
    <row r="49" ht="12.75" customHeight="1">
      <c r="A49" s="1" t="s">
        <v>71</v>
      </c>
    </row>
    <row r="50" ht="12.75" customHeight="1">
      <c r="D50" s="31"/>
    </row>
    <row r="51" spans="1:4" ht="12.75" customHeight="1">
      <c r="A51" s="11" t="s">
        <v>59</v>
      </c>
      <c r="D51" s="31"/>
    </row>
    <row r="52" spans="1:256" ht="12.75" customHeight="1">
      <c r="A52" s="36" t="s">
        <v>23</v>
      </c>
      <c r="D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 customHeight="1">
      <c r="A53" s="36" t="s">
        <v>60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7" ht="12.75" customHeight="1">
      <c r="A54" s="36" t="s">
        <v>61</v>
      </c>
      <c r="B54" s="36"/>
      <c r="C54" s="36"/>
      <c r="D54" s="36"/>
      <c r="E54" s="36"/>
      <c r="F54" s="36"/>
      <c r="G54" s="36"/>
    </row>
    <row r="55" ht="12.75" customHeight="1">
      <c r="A55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0" topLeftCell="A11" activePane="bottomLeft" state="frozen"/>
      <selection pane="topLeft" activeCell="A34" sqref="A34"/>
      <selection pane="bottomLeft" activeCell="A34" sqref="A34"/>
    </sheetView>
  </sheetViews>
  <sheetFormatPr defaultColWidth="11.421875" defaultRowHeight="12.75" customHeight="1"/>
  <cols>
    <col min="1" max="1" width="34.7109375" style="1" customWidth="1"/>
    <col min="2" max="5" width="7.421875" style="1" customWidth="1"/>
    <col min="6" max="6" width="12.28125" style="1" customWidth="1"/>
    <col min="7" max="7" width="14.00390625" style="1" customWidth="1"/>
    <col min="8" max="8" width="8.28125" style="1" customWidth="1"/>
    <col min="9" max="16384" width="11.421875" style="1" customWidth="1"/>
  </cols>
  <sheetData>
    <row r="1" spans="1:6" s="13" customFormat="1" ht="12.75" customHeight="1">
      <c r="A1" s="14" t="s">
        <v>48</v>
      </c>
      <c r="F1" s="15" t="s">
        <v>62</v>
      </c>
    </row>
    <row r="2" spans="1:6" s="13" customFormat="1" ht="3.75" customHeight="1">
      <c r="A2" s="16"/>
      <c r="B2" s="16"/>
      <c r="C2" s="16"/>
      <c r="D2" s="16"/>
      <c r="E2" s="16"/>
      <c r="F2" s="16"/>
    </row>
    <row r="3" spans="2:6" ht="3.75" customHeight="1">
      <c r="B3" s="23"/>
      <c r="F3" s="23"/>
    </row>
    <row r="4" spans="2:6" ht="12.75" customHeight="1">
      <c r="B4" s="24" t="s">
        <v>9</v>
      </c>
      <c r="F4" s="26" t="s">
        <v>16</v>
      </c>
    </row>
    <row r="5" spans="2:6" ht="12.75" customHeight="1">
      <c r="B5" s="24"/>
      <c r="F5" s="26" t="s">
        <v>17</v>
      </c>
    </row>
    <row r="6" spans="2:6" ht="12.75" customHeight="1">
      <c r="B6" s="25"/>
      <c r="C6" s="17"/>
      <c r="D6" s="17"/>
      <c r="E6" s="17"/>
      <c r="F6" s="26" t="s">
        <v>18</v>
      </c>
    </row>
    <row r="7" spans="2:6" ht="12.75" customHeight="1">
      <c r="B7" s="20" t="s">
        <v>0</v>
      </c>
      <c r="C7" s="21" t="s">
        <v>10</v>
      </c>
      <c r="D7" s="21" t="s">
        <v>11</v>
      </c>
      <c r="E7" s="1" t="s">
        <v>11</v>
      </c>
      <c r="F7" s="24"/>
    </row>
    <row r="8" spans="2:6" ht="3.75" customHeight="1">
      <c r="B8" s="21"/>
      <c r="C8" s="21"/>
      <c r="D8" s="21"/>
      <c r="E8" s="17"/>
      <c r="F8" s="27"/>
    </row>
    <row r="9" spans="2:6" ht="12.75" customHeight="1">
      <c r="B9" s="21"/>
      <c r="C9" s="21"/>
      <c r="D9" s="21"/>
      <c r="E9" s="12" t="s">
        <v>1</v>
      </c>
      <c r="F9" s="28" t="s">
        <v>1</v>
      </c>
    </row>
    <row r="10" spans="1:6" ht="3.75" customHeight="1">
      <c r="A10" s="17"/>
      <c r="B10" s="22"/>
      <c r="C10" s="22"/>
      <c r="D10" s="22"/>
      <c r="E10" s="18"/>
      <c r="F10" s="29"/>
    </row>
    <row r="11" spans="5:6" ht="3.75" customHeight="1">
      <c r="E11" s="12"/>
      <c r="F11" s="12"/>
    </row>
    <row r="12" spans="1:6" ht="12.75" customHeight="1">
      <c r="A12" s="30" t="s">
        <v>2</v>
      </c>
      <c r="B12" s="33"/>
      <c r="C12" s="33"/>
      <c r="D12" s="33"/>
      <c r="E12" s="34"/>
      <c r="F12" s="34"/>
    </row>
    <row r="13" spans="1:6" ht="12.75" customHeight="1">
      <c r="A13" s="1" t="s">
        <v>53</v>
      </c>
      <c r="B13" s="44"/>
      <c r="C13" s="44"/>
      <c r="D13" s="44"/>
      <c r="E13" s="35"/>
      <c r="F13" s="35"/>
    </row>
    <row r="14" spans="1:11" ht="12.75" customHeight="1">
      <c r="A14" s="3" t="s">
        <v>44</v>
      </c>
      <c r="B14" s="71">
        <v>17350</v>
      </c>
      <c r="C14" s="71">
        <v>7261</v>
      </c>
      <c r="D14" s="71">
        <v>10089</v>
      </c>
      <c r="E14" s="72">
        <f aca="true" t="shared" si="0" ref="E14:E45">(D14/B14)*100</f>
        <v>58.14985590778098</v>
      </c>
      <c r="F14" s="72">
        <f>(B14/16852)*100-100</f>
        <v>2.9551388559221294</v>
      </c>
      <c r="J14" s="39"/>
      <c r="K14" s="39"/>
    </row>
    <row r="15" spans="1:6" ht="12.75" customHeight="1">
      <c r="A15" s="3" t="s">
        <v>4</v>
      </c>
      <c r="B15" s="44">
        <v>10634</v>
      </c>
      <c r="C15" s="44">
        <v>5875</v>
      </c>
      <c r="D15" s="44">
        <v>4759</v>
      </c>
      <c r="E15" s="72">
        <f t="shared" si="0"/>
        <v>44.75268008275343</v>
      </c>
      <c r="F15" s="35">
        <f>(B15/10621)*100-100</f>
        <v>0.12239902080783338</v>
      </c>
    </row>
    <row r="16" spans="1:6" ht="12.75" customHeight="1">
      <c r="A16" s="3" t="s">
        <v>57</v>
      </c>
      <c r="B16" s="44">
        <v>422</v>
      </c>
      <c r="C16" s="44">
        <v>267</v>
      </c>
      <c r="D16" s="44">
        <v>155</v>
      </c>
      <c r="E16" s="72">
        <f t="shared" si="0"/>
        <v>36.72985781990521</v>
      </c>
      <c r="F16" s="44">
        <f>(B16/369)*100-100</f>
        <v>14.363143631436316</v>
      </c>
    </row>
    <row r="17" spans="1:6" ht="12.75" customHeight="1">
      <c r="A17" s="58" t="s">
        <v>75</v>
      </c>
      <c r="B17" s="44">
        <v>232</v>
      </c>
      <c r="C17" s="44">
        <v>48</v>
      </c>
      <c r="D17" s="44">
        <v>184</v>
      </c>
      <c r="E17" s="72">
        <f t="shared" si="0"/>
        <v>79.3103448275862</v>
      </c>
      <c r="F17" s="44">
        <f>(B17/214)*100-100</f>
        <v>8.411214953271013</v>
      </c>
    </row>
    <row r="18" spans="1:6" s="6" customFormat="1" ht="12.75" customHeight="1">
      <c r="A18" s="3" t="s">
        <v>45</v>
      </c>
      <c r="B18" s="44">
        <v>50066</v>
      </c>
      <c r="C18" s="44">
        <v>29407</v>
      </c>
      <c r="D18" s="44">
        <v>20659</v>
      </c>
      <c r="E18" s="72">
        <f t="shared" si="0"/>
        <v>41.263532137578395</v>
      </c>
      <c r="F18" s="35">
        <f>(B18/51907)*100-100</f>
        <v>-3.546727801645261</v>
      </c>
    </row>
    <row r="19" spans="1:6" s="6" customFormat="1" ht="12.75" customHeight="1">
      <c r="A19" s="3" t="s">
        <v>46</v>
      </c>
      <c r="B19" s="44">
        <v>1591</v>
      </c>
      <c r="C19" s="44">
        <v>530</v>
      </c>
      <c r="D19" s="44">
        <v>1061</v>
      </c>
      <c r="E19" s="72">
        <f t="shared" si="0"/>
        <v>66.68761785040854</v>
      </c>
      <c r="F19" s="35">
        <f>(B19/99)*100-100</f>
        <v>1507.070707070707</v>
      </c>
    </row>
    <row r="20" spans="1:6" ht="12.75">
      <c r="A20" s="3" t="s">
        <v>42</v>
      </c>
      <c r="B20" s="44">
        <v>2207</v>
      </c>
      <c r="C20" s="44">
        <v>406</v>
      </c>
      <c r="D20" s="44">
        <v>1801</v>
      </c>
      <c r="E20" s="72">
        <f t="shared" si="0"/>
        <v>81.60398731309469</v>
      </c>
      <c r="F20" s="35">
        <f>(B20/2157)*100-100</f>
        <v>2.318034306907734</v>
      </c>
    </row>
    <row r="21" spans="1:12" s="2" customFormat="1" ht="12.75" customHeight="1">
      <c r="A21" s="5" t="s">
        <v>5</v>
      </c>
      <c r="B21" s="44">
        <v>2516</v>
      </c>
      <c r="C21" s="44">
        <v>1229</v>
      </c>
      <c r="D21" s="44">
        <v>1287</v>
      </c>
      <c r="E21" s="72">
        <f t="shared" si="0"/>
        <v>51.152623211446745</v>
      </c>
      <c r="F21" s="35">
        <f>(B21/2710)*100-100</f>
        <v>-7.158671586715869</v>
      </c>
      <c r="G21" s="31"/>
      <c r="H21" s="1" t="s">
        <v>47</v>
      </c>
      <c r="I21" s="1"/>
      <c r="J21" s="1"/>
      <c r="K21" s="1"/>
      <c r="L21" s="1"/>
    </row>
    <row r="22" spans="1:6" ht="12.75" customHeight="1">
      <c r="A22" s="42" t="s">
        <v>41</v>
      </c>
      <c r="B22" s="44">
        <v>3503</v>
      </c>
      <c r="C22" s="44">
        <v>627</v>
      </c>
      <c r="D22" s="44">
        <v>2876</v>
      </c>
      <c r="E22" s="72">
        <f t="shared" si="0"/>
        <v>82.1010562375107</v>
      </c>
      <c r="F22" s="35">
        <f>(B22/2824)*100-100</f>
        <v>24.043909348441915</v>
      </c>
    </row>
    <row r="23" spans="1:12" s="10" customFormat="1" ht="12.75" customHeight="1">
      <c r="A23" s="3" t="s">
        <v>6</v>
      </c>
      <c r="B23" s="44">
        <v>1925</v>
      </c>
      <c r="C23" s="44">
        <v>1511</v>
      </c>
      <c r="D23" s="44">
        <v>414</v>
      </c>
      <c r="E23" s="72">
        <f t="shared" si="0"/>
        <v>21.506493506493506</v>
      </c>
      <c r="F23" s="35">
        <f>(B23/2598)*100-100</f>
        <v>-25.90454195535027</v>
      </c>
      <c r="G23" s="43"/>
      <c r="H23" s="6"/>
      <c r="I23" s="6"/>
      <c r="J23" s="6"/>
      <c r="K23" s="6"/>
      <c r="L23" s="6"/>
    </row>
    <row r="24" spans="1:12" s="8" customFormat="1" ht="12.75" customHeight="1">
      <c r="A24" s="1" t="s">
        <v>52</v>
      </c>
      <c r="B24" s="44"/>
      <c r="C24" s="44"/>
      <c r="D24" s="44"/>
      <c r="E24" s="72"/>
      <c r="F24" s="35"/>
      <c r="G24" s="1"/>
      <c r="H24" s="1"/>
      <c r="I24" s="1"/>
      <c r="J24" s="1"/>
      <c r="K24" s="1"/>
      <c r="L24" s="1"/>
    </row>
    <row r="25" spans="1:12" s="8" customFormat="1" ht="12.75" customHeight="1">
      <c r="A25" s="3" t="s">
        <v>7</v>
      </c>
      <c r="B25" s="44"/>
      <c r="C25" s="44"/>
      <c r="D25" s="44"/>
      <c r="E25" s="72"/>
      <c r="F25" s="35"/>
      <c r="G25" s="1"/>
      <c r="H25" s="1"/>
      <c r="I25" s="1"/>
      <c r="J25" s="1"/>
      <c r="K25" s="1"/>
      <c r="L25" s="1"/>
    </row>
    <row r="26" spans="1:12" s="10" customFormat="1" ht="15.75" customHeight="1">
      <c r="A26" s="7" t="s">
        <v>14</v>
      </c>
      <c r="B26" s="44">
        <v>4081</v>
      </c>
      <c r="C26" s="44">
        <v>2798</v>
      </c>
      <c r="D26" s="44">
        <v>1283</v>
      </c>
      <c r="E26" s="72">
        <f t="shared" si="0"/>
        <v>31.438372947806908</v>
      </c>
      <c r="F26" s="35">
        <f>(B26/3943)*100-100</f>
        <v>3.4998731930002407</v>
      </c>
      <c r="G26" s="6"/>
      <c r="H26" s="6"/>
      <c r="I26" s="6"/>
      <c r="J26" s="6"/>
      <c r="K26" s="6"/>
      <c r="L26" s="6"/>
    </row>
    <row r="27" spans="1:6" ht="12.75">
      <c r="A27" s="7" t="s">
        <v>12</v>
      </c>
      <c r="B27" s="44">
        <v>2563</v>
      </c>
      <c r="C27" s="44">
        <v>2108</v>
      </c>
      <c r="D27" s="44">
        <v>455</v>
      </c>
      <c r="E27" s="72">
        <f t="shared" si="0"/>
        <v>17.752633632461958</v>
      </c>
      <c r="F27" s="35">
        <f>(B27/2919)*100-100</f>
        <v>-12.195957519698524</v>
      </c>
    </row>
    <row r="28" spans="1:12" s="8" customFormat="1" ht="12.75" customHeight="1">
      <c r="A28" s="7" t="s">
        <v>13</v>
      </c>
      <c r="B28" s="44">
        <v>11723</v>
      </c>
      <c r="C28" s="44">
        <v>7352</v>
      </c>
      <c r="D28" s="44">
        <v>4371</v>
      </c>
      <c r="E28" s="72">
        <f t="shared" si="0"/>
        <v>37.28567772754414</v>
      </c>
      <c r="F28" s="35">
        <f>(B28/13180)*100-100</f>
        <v>-11.0546282245827</v>
      </c>
      <c r="G28" s="56"/>
      <c r="H28" s="55"/>
      <c r="I28" s="55"/>
      <c r="J28" s="55"/>
      <c r="K28" s="54"/>
      <c r="L28" s="54"/>
    </row>
    <row r="29" spans="1:12" s="10" customFormat="1" ht="25.5">
      <c r="A29" s="41" t="s">
        <v>22</v>
      </c>
      <c r="B29" s="44">
        <v>7326</v>
      </c>
      <c r="C29" s="44">
        <v>1832</v>
      </c>
      <c r="D29" s="44">
        <v>5494</v>
      </c>
      <c r="E29" s="72">
        <f t="shared" si="0"/>
        <v>74.99317499317499</v>
      </c>
      <c r="F29" s="35">
        <f>(B29/8022)*100-100</f>
        <v>-8.676140613313393</v>
      </c>
      <c r="G29" s="56"/>
      <c r="H29" s="56"/>
      <c r="I29" s="57"/>
      <c r="J29" s="57"/>
      <c r="K29" s="57"/>
      <c r="L29" s="57"/>
    </row>
    <row r="30" spans="1:12" s="10" customFormat="1" ht="12.75">
      <c r="A30" s="3" t="s">
        <v>35</v>
      </c>
      <c r="B30" s="47"/>
      <c r="C30" s="47"/>
      <c r="D30" s="47"/>
      <c r="E30" s="72"/>
      <c r="F30" s="49"/>
      <c r="G30" s="56"/>
      <c r="H30" s="56"/>
      <c r="I30" s="57"/>
      <c r="J30" s="57"/>
      <c r="K30" s="57"/>
      <c r="L30" s="57"/>
    </row>
    <row r="31" spans="1:12" s="10" customFormat="1" ht="25.5">
      <c r="A31" s="78" t="s">
        <v>66</v>
      </c>
      <c r="B31" s="44">
        <v>9649</v>
      </c>
      <c r="C31" s="44">
        <v>5661</v>
      </c>
      <c r="D31" s="44">
        <v>3988</v>
      </c>
      <c r="E31" s="72">
        <f t="shared" si="0"/>
        <v>41.33070784537258</v>
      </c>
      <c r="F31" s="32">
        <v>11.67824074074074</v>
      </c>
      <c r="G31" s="56"/>
      <c r="H31" s="56"/>
      <c r="I31" s="57"/>
      <c r="J31" s="57"/>
      <c r="K31" s="57"/>
      <c r="L31" s="57"/>
    </row>
    <row r="32" spans="1:12" s="10" customFormat="1" ht="24.75" customHeight="1">
      <c r="A32" s="9" t="s">
        <v>67</v>
      </c>
      <c r="B32" s="44">
        <v>1874</v>
      </c>
      <c r="C32" s="44">
        <v>272</v>
      </c>
      <c r="D32" s="44">
        <v>1602</v>
      </c>
      <c r="E32" s="72">
        <f t="shared" si="0"/>
        <v>85.48559231590181</v>
      </c>
      <c r="F32" s="32">
        <v>16.978776529338326</v>
      </c>
      <c r="G32" s="56"/>
      <c r="H32" s="57"/>
      <c r="I32" s="57"/>
      <c r="J32" s="57"/>
      <c r="K32" s="57"/>
      <c r="L32" s="57"/>
    </row>
    <row r="33" spans="1:12" s="10" customFormat="1" ht="24.75" customHeight="1">
      <c r="A33" s="9" t="s">
        <v>68</v>
      </c>
      <c r="B33" s="44">
        <v>218</v>
      </c>
      <c r="C33" s="44">
        <v>62</v>
      </c>
      <c r="D33" s="44">
        <v>156</v>
      </c>
      <c r="E33" s="72">
        <f t="shared" si="0"/>
        <v>71.55963302752293</v>
      </c>
      <c r="F33" s="32">
        <v>17.83783783783784</v>
      </c>
      <c r="G33" s="56"/>
      <c r="H33" s="57"/>
      <c r="I33" s="57"/>
      <c r="J33" s="57"/>
      <c r="K33" s="57"/>
      <c r="L33" s="57"/>
    </row>
    <row r="34" spans="1:12" s="10" customFormat="1" ht="24.75" customHeight="1">
      <c r="A34" s="9" t="s">
        <v>19</v>
      </c>
      <c r="B34" s="44">
        <v>6941</v>
      </c>
      <c r="C34" s="44">
        <v>3141</v>
      </c>
      <c r="D34" s="44">
        <v>3800</v>
      </c>
      <c r="E34" s="72">
        <f t="shared" si="0"/>
        <v>54.74715458867598</v>
      </c>
      <c r="F34" s="32">
        <v>-11.350868232890706</v>
      </c>
      <c r="G34" s="56"/>
      <c r="H34" s="57"/>
      <c r="I34" s="57"/>
      <c r="J34" s="57"/>
      <c r="K34" s="57"/>
      <c r="L34" s="57"/>
    </row>
    <row r="35" spans="1:12" s="10" customFormat="1" ht="24.75" customHeight="1">
      <c r="A35" s="9" t="s">
        <v>30</v>
      </c>
      <c r="B35" s="44">
        <v>7166</v>
      </c>
      <c r="C35" s="44">
        <v>3677</v>
      </c>
      <c r="D35" s="44">
        <v>3489</v>
      </c>
      <c r="E35" s="72">
        <f t="shared" si="0"/>
        <v>48.68825006977393</v>
      </c>
      <c r="F35" s="32">
        <v>43.69360336875877</v>
      </c>
      <c r="G35" s="56"/>
      <c r="H35" s="57"/>
      <c r="I35" s="57"/>
      <c r="J35" s="57"/>
      <c r="K35" s="57"/>
      <c r="L35" s="57"/>
    </row>
    <row r="36" spans="1:12" s="2" customFormat="1" ht="24.75" customHeight="1">
      <c r="A36" s="9" t="s">
        <v>31</v>
      </c>
      <c r="B36" s="44">
        <v>3623</v>
      </c>
      <c r="C36" s="44">
        <v>2061</v>
      </c>
      <c r="D36" s="44">
        <v>1562</v>
      </c>
      <c r="E36" s="72">
        <f t="shared" si="0"/>
        <v>43.11344189897875</v>
      </c>
      <c r="F36" s="32">
        <v>59.814733127481254</v>
      </c>
      <c r="G36" s="56"/>
      <c r="H36" s="57"/>
      <c r="I36" s="57"/>
      <c r="J36" s="57"/>
      <c r="K36" s="57"/>
      <c r="L36" s="57"/>
    </row>
    <row r="37" spans="1:12" s="6" customFormat="1" ht="25.5">
      <c r="A37" s="9" t="s">
        <v>15</v>
      </c>
      <c r="B37" s="44">
        <v>1270</v>
      </c>
      <c r="C37" s="44">
        <v>590</v>
      </c>
      <c r="D37" s="44">
        <v>680</v>
      </c>
      <c r="E37" s="72">
        <f t="shared" si="0"/>
        <v>53.54330708661418</v>
      </c>
      <c r="F37" s="32">
        <v>14.620938628158845</v>
      </c>
      <c r="G37" s="56"/>
      <c r="H37" s="55"/>
      <c r="I37" s="55"/>
      <c r="J37" s="55"/>
      <c r="K37" s="54"/>
      <c r="L37" s="54"/>
    </row>
    <row r="38" spans="1:12" s="6" customFormat="1" ht="24.75" customHeight="1">
      <c r="A38" s="9" t="s">
        <v>39</v>
      </c>
      <c r="B38" s="44">
        <v>249</v>
      </c>
      <c r="C38" s="44">
        <v>83</v>
      </c>
      <c r="D38" s="44">
        <v>166</v>
      </c>
      <c r="E38" s="72">
        <f t="shared" si="0"/>
        <v>66.66666666666666</v>
      </c>
      <c r="F38" s="32">
        <v>-45.01108647450111</v>
      </c>
      <c r="G38" s="56"/>
      <c r="H38" s="55"/>
      <c r="I38" s="55"/>
      <c r="J38" s="55"/>
      <c r="K38" s="54"/>
      <c r="L38" s="54"/>
    </row>
    <row r="39" spans="1:12" s="6" customFormat="1" ht="24.75" customHeight="1">
      <c r="A39" s="1" t="s">
        <v>8</v>
      </c>
      <c r="B39" s="44"/>
      <c r="C39" s="44"/>
      <c r="D39" s="44"/>
      <c r="E39" s="72"/>
      <c r="F39" s="35"/>
      <c r="G39" s="56"/>
      <c r="H39" s="56"/>
      <c r="I39" s="57"/>
      <c r="J39" s="57"/>
      <c r="K39" s="57"/>
      <c r="L39" s="57"/>
    </row>
    <row r="40" spans="1:12" ht="25.5">
      <c r="A40" s="5" t="s">
        <v>20</v>
      </c>
      <c r="B40" s="44">
        <v>320</v>
      </c>
      <c r="C40" s="44">
        <v>296</v>
      </c>
      <c r="D40" s="44">
        <v>24</v>
      </c>
      <c r="E40" s="72">
        <f t="shared" si="0"/>
        <v>7.5</v>
      </c>
      <c r="F40" s="35">
        <f>(B40/218)*100-100</f>
        <v>46.788990825688074</v>
      </c>
      <c r="G40" s="56"/>
      <c r="H40" s="57"/>
      <c r="I40" s="57"/>
      <c r="J40" s="57"/>
      <c r="K40" s="57"/>
      <c r="L40" s="57"/>
    </row>
    <row r="41" spans="1:12" ht="25.5">
      <c r="A41" s="5" t="s">
        <v>70</v>
      </c>
      <c r="B41" s="44">
        <v>744</v>
      </c>
      <c r="C41" s="44">
        <v>196</v>
      </c>
      <c r="D41" s="44">
        <v>548</v>
      </c>
      <c r="E41" s="72">
        <f t="shared" si="0"/>
        <v>73.65591397849462</v>
      </c>
      <c r="F41" s="35">
        <f>(B41/889)*100-100</f>
        <v>-16.310461192350957</v>
      </c>
      <c r="G41" s="56"/>
      <c r="H41" s="57"/>
      <c r="I41" s="57"/>
      <c r="J41" s="57"/>
      <c r="K41" s="57"/>
      <c r="L41" s="57"/>
    </row>
    <row r="42" spans="1:12" ht="25.5">
      <c r="A42" s="5" t="s">
        <v>36</v>
      </c>
      <c r="B42" s="44">
        <v>2422</v>
      </c>
      <c r="C42" s="44">
        <v>1812</v>
      </c>
      <c r="D42" s="44">
        <v>610</v>
      </c>
      <c r="E42" s="72">
        <f t="shared" si="0"/>
        <v>25.185796862097444</v>
      </c>
      <c r="F42" s="32">
        <v>7.358156028368794</v>
      </c>
      <c r="G42" s="56"/>
      <c r="H42" s="57"/>
      <c r="I42" s="57"/>
      <c r="J42" s="57"/>
      <c r="K42" s="57"/>
      <c r="L42" s="57"/>
    </row>
    <row r="43" spans="1:12" ht="25.5">
      <c r="A43" s="5" t="s">
        <v>40</v>
      </c>
      <c r="B43" s="44">
        <v>1174</v>
      </c>
      <c r="C43" s="44">
        <v>818</v>
      </c>
      <c r="D43" s="44">
        <v>356</v>
      </c>
      <c r="E43" s="72">
        <f t="shared" si="0"/>
        <v>30.3236797274276</v>
      </c>
      <c r="F43" s="32">
        <v>8.703703703703704</v>
      </c>
      <c r="G43" s="56"/>
      <c r="H43" s="57"/>
      <c r="I43" s="57"/>
      <c r="J43" s="57"/>
      <c r="K43" s="57"/>
      <c r="L43" s="57"/>
    </row>
    <row r="44" spans="1:12" ht="25.5">
      <c r="A44" s="5" t="s">
        <v>38</v>
      </c>
      <c r="B44" s="44">
        <v>708</v>
      </c>
      <c r="C44" s="44">
        <v>274</v>
      </c>
      <c r="D44" s="44">
        <v>434</v>
      </c>
      <c r="E44" s="72">
        <f t="shared" si="0"/>
        <v>61.29943502824858</v>
      </c>
      <c r="F44" s="32">
        <v>-31.461761858664083</v>
      </c>
      <c r="G44" s="56"/>
      <c r="H44" s="57"/>
      <c r="I44" s="57"/>
      <c r="J44" s="57"/>
      <c r="K44" s="57"/>
      <c r="L44" s="57"/>
    </row>
    <row r="45" spans="1:12" ht="12.75" customHeight="1">
      <c r="A45" s="1" t="s">
        <v>3</v>
      </c>
      <c r="B45" s="44">
        <v>3237</v>
      </c>
      <c r="C45" s="44">
        <v>1992</v>
      </c>
      <c r="D45" s="44">
        <v>1245</v>
      </c>
      <c r="E45" s="72">
        <f t="shared" si="0"/>
        <v>38.46153846153847</v>
      </c>
      <c r="F45" s="32">
        <v>1.188242651657286</v>
      </c>
      <c r="H45" s="57"/>
      <c r="I45" s="57"/>
      <c r="J45" s="57"/>
      <c r="K45" s="57"/>
      <c r="L45" s="57"/>
    </row>
    <row r="46" spans="1:6" ht="3.75" customHeight="1">
      <c r="A46" s="17"/>
      <c r="B46" s="19"/>
      <c r="C46" s="17"/>
      <c r="D46" s="17"/>
      <c r="E46" s="17"/>
      <c r="F46" s="17"/>
    </row>
    <row r="48" ht="12.75" customHeight="1">
      <c r="A48" s="1" t="s">
        <v>71</v>
      </c>
    </row>
    <row r="50" spans="1:4" ht="12.75" customHeight="1">
      <c r="A50" s="11" t="s">
        <v>59</v>
      </c>
      <c r="D50" s="31"/>
    </row>
    <row r="51" spans="1:256" ht="12.75" customHeight="1">
      <c r="A51" s="36" t="s">
        <v>23</v>
      </c>
      <c r="D51" s="3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 customHeight="1">
      <c r="A52" s="36" t="s">
        <v>60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7" ht="12.75" customHeight="1">
      <c r="A53" s="36" t="s">
        <v>61</v>
      </c>
      <c r="B53" s="36"/>
      <c r="C53" s="36"/>
      <c r="D53" s="36"/>
      <c r="E53" s="36"/>
      <c r="F53" s="36"/>
      <c r="G53" s="36"/>
    </row>
    <row r="54" ht="12.75" customHeight="1">
      <c r="A54" s="37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Deppierraz Réjane BFS</cp:lastModifiedBy>
  <cp:lastPrinted>2016-08-22T09:47:40Z</cp:lastPrinted>
  <dcterms:created xsi:type="dcterms:W3CDTF">2000-06-20T09:29:38Z</dcterms:created>
  <dcterms:modified xsi:type="dcterms:W3CDTF">2017-04-27T09:31:20Z</dcterms:modified>
  <cp:category/>
  <cp:version/>
  <cp:contentType/>
  <cp:contentStatus/>
</cp:coreProperties>
</file>