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defaultThemeVersion="166925"/>
  <mc:AlternateContent xmlns:mc="http://schemas.openxmlformats.org/markup-compatibility/2006">
    <mc:Choice Requires="x15">
      <x15ac:absPath xmlns:x15ac="http://schemas.microsoft.com/office/spreadsheetml/2010/11/ac" url="\\adb.intra.admin.ch\BFS$\Archive\BB\DEM\103_Contrats_et_Protection_de_Donnees\Synopsen\SNC\"/>
    </mc:Choice>
  </mc:AlternateContent>
  <xr:revisionPtr revIDLastSave="0" documentId="8_{D1453B82-27ED-43B6-8186-C182AD348743}" xr6:coauthVersionLast="47" xr6:coauthVersionMax="47" xr10:uidLastSave="{00000000-0000-0000-0000-000000000000}"/>
  <bookViews>
    <workbookView xWindow="780" yWindow="780" windowWidth="21600" windowHeight="11175" xr2:uid="{00000000-000D-0000-FFFF-FFFF00000000}"/>
  </bookViews>
  <sheets>
    <sheet name="Aperçu SNC" sheetId="2" r:id="rId1"/>
    <sheet name="Extrait_SNC" sheetId="3" r:id="rId2"/>
    <sheet name="SSEP" sheetId="18" r:id="rId3"/>
    <sheet name="VZ1990" sheetId="14" r:id="rId4"/>
    <sheet name="VZ2000" sheetId="15" r:id="rId5"/>
    <sheet name="BEVNAT" sheetId="12" r:id="rId6"/>
    <sheet name="SGB" sheetId="1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36" i="17" l="1"/>
  <c r="D435" i="17"/>
  <c r="D434" i="17"/>
  <c r="D433" i="17"/>
  <c r="D432" i="17"/>
  <c r="D426" i="17"/>
  <c r="D423" i="17"/>
  <c r="D421" i="17"/>
  <c r="D412" i="17"/>
  <c r="D394" i="17"/>
  <c r="D403" i="17"/>
  <c r="D1007" i="17" l="1"/>
  <c r="D981" i="17"/>
  <c r="D979" i="17"/>
  <c r="D976" i="17"/>
  <c r="D973" i="17"/>
  <c r="D969" i="17"/>
  <c r="D962" i="17"/>
  <c r="D960" i="17"/>
  <c r="D959" i="17"/>
  <c r="D958" i="17"/>
  <c r="D954" i="17"/>
  <c r="D953" i="17"/>
  <c r="D952" i="17"/>
  <c r="D951" i="17"/>
  <c r="D950" i="17"/>
  <c r="D949" i="17"/>
  <c r="D946" i="17"/>
  <c r="D935" i="17"/>
  <c r="D929" i="17"/>
  <c r="D925" i="17"/>
  <c r="D924" i="17"/>
  <c r="D920" i="17"/>
  <c r="D915" i="17"/>
  <c r="D912" i="17"/>
  <c r="D911" i="17"/>
  <c r="D910" i="17"/>
  <c r="D909" i="17"/>
  <c r="D908" i="17"/>
  <c r="D907" i="17"/>
  <c r="D906" i="17"/>
  <c r="D905" i="17"/>
  <c r="D904" i="17"/>
  <c r="D903" i="17"/>
  <c r="D902" i="17"/>
  <c r="D901" i="17"/>
  <c r="D900" i="17"/>
  <c r="D899" i="17"/>
  <c r="D898" i="17"/>
  <c r="D897" i="17"/>
  <c r="D896" i="17"/>
  <c r="D895" i="17"/>
  <c r="D894" i="17"/>
  <c r="D893" i="17"/>
  <c r="D892" i="17"/>
  <c r="D891" i="17"/>
  <c r="D890" i="17"/>
  <c r="D889" i="17"/>
  <c r="D888" i="17"/>
  <c r="D887" i="17"/>
  <c r="D886" i="17"/>
  <c r="D885" i="17"/>
  <c r="D884" i="17"/>
  <c r="D883" i="17"/>
  <c r="D882" i="17"/>
  <c r="D881" i="17"/>
  <c r="D880" i="17"/>
  <c r="D878" i="17"/>
  <c r="D877" i="17"/>
  <c r="D876" i="17"/>
  <c r="D873" i="17"/>
  <c r="D872" i="17"/>
  <c r="D869" i="17"/>
  <c r="D868" i="17"/>
  <c r="D865" i="17"/>
  <c r="D864" i="17"/>
  <c r="D863" i="17"/>
  <c r="D862" i="17"/>
  <c r="D861" i="17"/>
  <c r="D860" i="17"/>
  <c r="D858" i="17"/>
  <c r="D857" i="17"/>
  <c r="D856" i="17"/>
  <c r="D855" i="17"/>
  <c r="D852" i="17"/>
  <c r="D851" i="17"/>
  <c r="D847" i="17"/>
  <c r="D846" i="17"/>
  <c r="D845" i="17"/>
  <c r="D844" i="17"/>
  <c r="D836" i="17"/>
  <c r="D835" i="17"/>
  <c r="D834" i="17"/>
  <c r="D833" i="17"/>
  <c r="D832" i="17"/>
  <c r="D831" i="17"/>
  <c r="D830" i="17"/>
  <c r="D829" i="17"/>
  <c r="D828" i="17"/>
  <c r="D827" i="17"/>
  <c r="D826" i="17"/>
  <c r="D825" i="17"/>
  <c r="D824" i="17"/>
  <c r="D823" i="17"/>
  <c r="D822" i="17"/>
  <c r="D821" i="17"/>
  <c r="D820" i="17"/>
  <c r="D819" i="17"/>
  <c r="D818" i="17"/>
  <c r="D817" i="17"/>
  <c r="D816" i="17"/>
  <c r="D815" i="17"/>
  <c r="D814" i="17"/>
  <c r="D813" i="17"/>
  <c r="D812" i="17"/>
  <c r="D811" i="17"/>
  <c r="D810" i="17"/>
  <c r="D809" i="17"/>
  <c r="D808" i="17"/>
  <c r="D807" i="17"/>
  <c r="D806" i="17"/>
  <c r="D805" i="17"/>
  <c r="D804" i="17"/>
  <c r="D803" i="17"/>
  <c r="D802" i="17"/>
  <c r="D801" i="17"/>
  <c r="D800" i="17"/>
  <c r="D799" i="17"/>
  <c r="D798" i="17"/>
  <c r="D797" i="17"/>
  <c r="D796" i="17"/>
  <c r="D795" i="17"/>
  <c r="D794" i="17"/>
  <c r="D792" i="17"/>
  <c r="D791" i="17"/>
  <c r="D790" i="17"/>
  <c r="D789" i="17"/>
  <c r="D788" i="17"/>
  <c r="D787" i="17"/>
  <c r="D786" i="17"/>
  <c r="D785" i="17"/>
  <c r="D784" i="17"/>
  <c r="D783" i="17"/>
  <c r="D782" i="17"/>
  <c r="D781" i="17"/>
  <c r="D780" i="17"/>
  <c r="D779" i="17"/>
  <c r="D778" i="17"/>
  <c r="D777" i="17"/>
  <c r="D776" i="17"/>
  <c r="D774" i="17"/>
  <c r="D773" i="17"/>
  <c r="D772" i="17"/>
  <c r="D771" i="17"/>
  <c r="D767" i="17"/>
  <c r="D764" i="17"/>
  <c r="D763" i="17"/>
  <c r="D762" i="17"/>
  <c r="D761" i="17"/>
  <c r="D760" i="17"/>
  <c r="D759" i="17"/>
  <c r="D758" i="17"/>
  <c r="D757" i="17"/>
  <c r="D756" i="17"/>
  <c r="D755" i="17"/>
  <c r="D754" i="17"/>
  <c r="D753" i="17"/>
  <c r="D752" i="17"/>
  <c r="D751" i="17"/>
  <c r="D750" i="17"/>
  <c r="D749" i="17"/>
  <c r="D748" i="17"/>
  <c r="D747" i="17"/>
  <c r="D746" i="17"/>
  <c r="D745" i="17"/>
  <c r="D744" i="17"/>
  <c r="D743" i="17"/>
  <c r="D742" i="17"/>
  <c r="D741" i="17"/>
  <c r="D740" i="17"/>
  <c r="D739" i="17"/>
  <c r="D738" i="17"/>
  <c r="D737" i="17"/>
  <c r="D736" i="17"/>
  <c r="D735" i="17"/>
  <c r="D734" i="17"/>
  <c r="D733" i="17"/>
  <c r="D732" i="17"/>
  <c r="D731" i="17"/>
  <c r="D730" i="17"/>
  <c r="D729" i="17"/>
  <c r="D728" i="17"/>
  <c r="D727" i="17"/>
  <c r="D726" i="17"/>
  <c r="D725" i="17"/>
  <c r="D724" i="17"/>
  <c r="D723" i="17"/>
  <c r="D722" i="17"/>
  <c r="D721" i="17"/>
  <c r="D720" i="17"/>
  <c r="D719" i="17"/>
  <c r="D718" i="17"/>
  <c r="D717" i="17"/>
  <c r="D716" i="17"/>
  <c r="D715" i="17"/>
  <c r="D714" i="17"/>
  <c r="D713" i="17"/>
  <c r="D712" i="17"/>
  <c r="D711" i="17"/>
  <c r="D710" i="17"/>
  <c r="D709" i="17"/>
  <c r="D708" i="17"/>
  <c r="D707" i="17"/>
  <c r="D706" i="17"/>
  <c r="D705" i="17"/>
  <c r="D704" i="17"/>
  <c r="D703" i="17"/>
  <c r="D699" i="17"/>
  <c r="D692" i="17"/>
  <c r="D689" i="17"/>
  <c r="D662" i="17"/>
  <c r="D654" i="17"/>
  <c r="D649" i="17"/>
  <c r="D645" i="17"/>
  <c r="D640" i="17"/>
  <c r="D639" i="17"/>
  <c r="D638" i="17"/>
  <c r="D637" i="17"/>
  <c r="D636" i="17"/>
  <c r="D635" i="17"/>
  <c r="D634" i="17"/>
  <c r="D633" i="17"/>
  <c r="D632" i="17"/>
  <c r="D631" i="17"/>
  <c r="D630" i="17"/>
  <c r="D629" i="17"/>
  <c r="D628" i="17"/>
  <c r="D627" i="17"/>
  <c r="D626" i="17"/>
  <c r="D625" i="17"/>
  <c r="D624" i="17"/>
  <c r="D623" i="17"/>
  <c r="D622" i="17"/>
  <c r="D621" i="17"/>
  <c r="D620" i="17"/>
  <c r="D619" i="17"/>
  <c r="D618" i="17"/>
  <c r="D617" i="17"/>
  <c r="D616" i="17"/>
  <c r="D612" i="17"/>
  <c r="D610" i="17"/>
  <c r="D604" i="17"/>
  <c r="D598" i="17"/>
  <c r="D579" i="17"/>
  <c r="D570" i="17"/>
  <c r="D567" i="17"/>
  <c r="D566" i="17"/>
  <c r="D565" i="17"/>
  <c r="D564" i="17"/>
  <c r="D563" i="17"/>
  <c r="D562" i="17"/>
  <c r="D556" i="17"/>
  <c r="D551" i="17"/>
  <c r="D547" i="17"/>
  <c r="D546" i="17"/>
  <c r="D545" i="17"/>
  <c r="D544" i="17"/>
  <c r="D543" i="17"/>
  <c r="D540" i="17"/>
  <c r="D539" i="17"/>
  <c r="D538" i="17"/>
  <c r="D535" i="17"/>
  <c r="D534" i="17"/>
  <c r="D529" i="17"/>
  <c r="D524" i="17"/>
  <c r="D521" i="17"/>
  <c r="D515" i="17"/>
  <c r="D514" i="17"/>
  <c r="D513" i="17"/>
  <c r="D512" i="17"/>
  <c r="D511" i="17"/>
  <c r="D510" i="17"/>
  <c r="D509" i="17"/>
  <c r="D508" i="17"/>
  <c r="D507" i="17"/>
  <c r="D506" i="17"/>
  <c r="D504" i="17"/>
  <c r="D503" i="17"/>
  <c r="D502" i="17"/>
  <c r="D499" i="17"/>
  <c r="D496" i="17"/>
  <c r="D494" i="17"/>
  <c r="D493" i="17"/>
  <c r="D489" i="17"/>
  <c r="D487" i="17"/>
  <c r="D486" i="17"/>
  <c r="D485" i="17"/>
  <c r="D484" i="17"/>
  <c r="D480" i="17"/>
  <c r="D474" i="17"/>
  <c r="D473" i="17"/>
  <c r="D466" i="17"/>
  <c r="D461" i="17"/>
  <c r="D460" i="17"/>
  <c r="D459" i="17"/>
  <c r="D458" i="17"/>
  <c r="D457" i="17"/>
  <c r="D455" i="17"/>
  <c r="D454" i="17"/>
  <c r="D453" i="17"/>
  <c r="D452" i="17"/>
  <c r="D448" i="17"/>
  <c r="D442" i="17"/>
  <c r="D411" i="17"/>
  <c r="D410" i="17"/>
  <c r="D409" i="17"/>
  <c r="D408" i="17"/>
  <c r="D400" i="17"/>
  <c r="D381" i="17"/>
  <c r="D376" i="17"/>
  <c r="D375" i="17"/>
  <c r="D374" i="17"/>
  <c r="D373" i="17"/>
  <c r="D372" i="17"/>
  <c r="D369" i="17"/>
  <c r="D366" i="17"/>
  <c r="D364" i="17"/>
  <c r="D363" i="17"/>
  <c r="D362" i="17"/>
  <c r="D361" i="17"/>
  <c r="D360" i="17"/>
  <c r="D352" i="17"/>
  <c r="D348" i="17"/>
  <c r="D343" i="17"/>
  <c r="D342" i="17"/>
  <c r="D341" i="17"/>
  <c r="D340" i="17"/>
  <c r="D339" i="17"/>
  <c r="D333" i="17"/>
  <c r="D332" i="17"/>
  <c r="D331" i="17"/>
  <c r="D330" i="17"/>
  <c r="D329" i="17"/>
  <c r="D328" i="17"/>
  <c r="D327" i="17"/>
  <c r="D326" i="17"/>
  <c r="D325" i="17"/>
  <c r="D324" i="17"/>
  <c r="D321" i="17"/>
  <c r="D320" i="17"/>
  <c r="D319" i="17"/>
  <c r="D318" i="17"/>
  <c r="D317" i="17"/>
  <c r="D316" i="17"/>
  <c r="D315" i="17"/>
  <c r="D314" i="17"/>
  <c r="D313" i="17"/>
  <c r="D312" i="17"/>
  <c r="D311" i="17"/>
  <c r="D310" i="17"/>
  <c r="D309" i="17"/>
  <c r="D308" i="17"/>
  <c r="D307" i="17"/>
  <c r="D306" i="17"/>
  <c r="D305" i="17"/>
  <c r="D304" i="17"/>
  <c r="D303" i="17"/>
  <c r="D302" i="17"/>
  <c r="D301" i="17"/>
  <c r="D300" i="17"/>
  <c r="D299" i="17"/>
  <c r="D298" i="17"/>
  <c r="D297" i="17"/>
  <c r="D293" i="17"/>
  <c r="D292" i="17"/>
  <c r="D289" i="17"/>
  <c r="D288" i="17"/>
  <c r="D287" i="17"/>
  <c r="D286" i="17"/>
  <c r="D285" i="17"/>
  <c r="D251" i="17"/>
  <c r="D250" i="17"/>
  <c r="D249" i="17"/>
  <c r="D248" i="17"/>
  <c r="D247" i="17"/>
  <c r="D242" i="17"/>
  <c r="D241" i="17"/>
  <c r="D240" i="17"/>
  <c r="D239" i="17"/>
  <c r="D236" i="17"/>
  <c r="D235" i="17"/>
  <c r="D230" i="17"/>
  <c r="D229" i="17"/>
  <c r="D228" i="17"/>
  <c r="D227" i="17"/>
  <c r="D226" i="17"/>
  <c r="D225" i="17"/>
  <c r="D224" i="17"/>
  <c r="D223" i="17"/>
  <c r="D222" i="17"/>
  <c r="D221" i="17"/>
  <c r="D220" i="17"/>
  <c r="D219" i="17"/>
  <c r="D218" i="17"/>
  <c r="D217" i="17"/>
  <c r="D216" i="17"/>
  <c r="D215" i="17"/>
  <c r="D214" i="17"/>
  <c r="D213" i="17"/>
  <c r="D212" i="17"/>
  <c r="D211" i="17"/>
  <c r="D210" i="17"/>
  <c r="D209" i="17"/>
  <c r="D208" i="17"/>
  <c r="D207" i="17"/>
  <c r="D206" i="17"/>
  <c r="D205" i="17"/>
  <c r="D204" i="17"/>
  <c r="D203" i="17"/>
  <c r="D202" i="17"/>
  <c r="D201" i="17"/>
  <c r="D200" i="17"/>
  <c r="D199" i="17"/>
  <c r="D198" i="17"/>
  <c r="D197" i="17"/>
  <c r="D196" i="17"/>
  <c r="D195" i="17"/>
  <c r="D194" i="17"/>
  <c r="D193" i="17"/>
  <c r="D192" i="17"/>
  <c r="D191" i="17"/>
  <c r="D190" i="17"/>
  <c r="D189" i="17"/>
  <c r="D188" i="17"/>
  <c r="D187" i="17"/>
  <c r="D186" i="17"/>
  <c r="D185" i="17"/>
  <c r="D184" i="17"/>
  <c r="D183" i="17"/>
  <c r="D182" i="17"/>
  <c r="D181" i="17"/>
  <c r="D180" i="17"/>
  <c r="D179" i="17"/>
  <c r="D178" i="17"/>
  <c r="D177" i="17"/>
  <c r="D176" i="17"/>
  <c r="D175" i="17"/>
  <c r="D174" i="17"/>
  <c r="D173" i="17"/>
  <c r="D172" i="17"/>
  <c r="D171" i="17"/>
  <c r="D170" i="17"/>
  <c r="D169" i="17"/>
  <c r="D168" i="17"/>
  <c r="D167" i="17"/>
  <c r="D166" i="17"/>
  <c r="D165" i="17"/>
  <c r="D164" i="17"/>
  <c r="D163" i="17"/>
  <c r="D162" i="17"/>
  <c r="D161" i="17"/>
  <c r="D160" i="17"/>
  <c r="D159" i="17"/>
  <c r="D158" i="17"/>
  <c r="D157" i="17"/>
  <c r="D156" i="17"/>
  <c r="D155" i="17"/>
  <c r="D154" i="17"/>
  <c r="D153" i="17"/>
  <c r="D152" i="17"/>
  <c r="D151" i="17"/>
  <c r="D150" i="17"/>
  <c r="D149" i="17"/>
  <c r="D148" i="17"/>
  <c r="D147" i="17"/>
  <c r="D146" i="17"/>
  <c r="D145" i="17"/>
  <c r="D144" i="17"/>
  <c r="D143" i="17"/>
  <c r="D142" i="17"/>
  <c r="D141" i="17"/>
  <c r="D140" i="17"/>
  <c r="D139" i="17"/>
  <c r="D137" i="17"/>
  <c r="D136" i="17"/>
  <c r="D135" i="17"/>
  <c r="D134" i="17"/>
  <c r="D133" i="17"/>
  <c r="D132" i="17"/>
  <c r="D131" i="17"/>
  <c r="D130" i="17"/>
  <c r="D129" i="17"/>
  <c r="D128" i="17"/>
  <c r="D127" i="17"/>
  <c r="D126" i="17"/>
  <c r="D125" i="17"/>
  <c r="D124" i="17"/>
  <c r="D123" i="17"/>
  <c r="D122" i="17"/>
  <c r="D121" i="17"/>
  <c r="D120" i="17"/>
  <c r="D119" i="17"/>
  <c r="D118" i="17"/>
  <c r="D117" i="17"/>
  <c r="D116" i="17"/>
  <c r="D115" i="17"/>
  <c r="D114" i="17"/>
  <c r="D113" i="17"/>
  <c r="D112" i="17"/>
  <c r="D111" i="17"/>
  <c r="D110" i="17"/>
  <c r="D108" i="17"/>
  <c r="D107" i="17"/>
  <c r="D106" i="17"/>
  <c r="D105" i="17"/>
  <c r="D104" i="17"/>
  <c r="D103" i="17"/>
  <c r="D102" i="17"/>
  <c r="D101" i="17"/>
  <c r="D100" i="17"/>
  <c r="D99" i="17"/>
  <c r="D98" i="17"/>
  <c r="D97" i="17"/>
  <c r="D96" i="17"/>
  <c r="D95" i="17"/>
  <c r="D94" i="17"/>
  <c r="D93" i="17"/>
  <c r="D92" i="17"/>
  <c r="D91" i="17"/>
  <c r="D90" i="17"/>
  <c r="D89" i="17"/>
  <c r="D88" i="17"/>
  <c r="D87" i="17"/>
  <c r="D86" i="17"/>
  <c r="D85" i="17"/>
  <c r="D84" i="17"/>
  <c r="D83" i="17"/>
  <c r="D82" i="17"/>
  <c r="D81" i="17"/>
  <c r="D80" i="17"/>
  <c r="D79" i="17"/>
  <c r="D78" i="17"/>
  <c r="D77" i="17"/>
  <c r="D76" i="17"/>
  <c r="D75" i="17"/>
  <c r="D74" i="17"/>
  <c r="D70" i="17"/>
  <c r="D64" i="17"/>
  <c r="D61" i="17"/>
  <c r="D58" i="17"/>
  <c r="D54" i="17"/>
  <c r="D50" i="17"/>
  <c r="D49" i="17"/>
  <c r="D48" i="17"/>
  <c r="D47" i="17"/>
  <c r="D46" i="17"/>
  <c r="D45" i="17"/>
  <c r="D44" i="17"/>
  <c r="D43" i="17"/>
  <c r="D42" i="17"/>
  <c r="D41" i="17"/>
  <c r="D40" i="17"/>
  <c r="D39" i="17"/>
  <c r="D38" i="17"/>
  <c r="D37" i="17"/>
  <c r="D36" i="17"/>
  <c r="D35" i="17"/>
  <c r="D34" i="17"/>
  <c r="D33" i="17"/>
  <c r="D32" i="17"/>
  <c r="D31" i="17"/>
  <c r="D30" i="17"/>
  <c r="D29" i="17"/>
  <c r="D28" i="17"/>
  <c r="D27" i="17"/>
  <c r="D26" i="17"/>
  <c r="D23" i="17"/>
  <c r="D22" i="17"/>
  <c r="D21" i="17"/>
  <c r="D20" i="17"/>
  <c r="D19" i="17"/>
  <c r="D15" i="17"/>
  <c r="D14" i="17"/>
  <c r="D13" i="17"/>
  <c r="D12" i="17"/>
  <c r="D11" i="17"/>
  <c r="D10" i="17"/>
  <c r="D9" i="17"/>
</calcChain>
</file>

<file path=xl/sharedStrings.xml><?xml version="1.0" encoding="utf-8"?>
<sst xmlns="http://schemas.openxmlformats.org/spreadsheetml/2006/main" count="7863" uniqueCount="5041">
  <si>
    <t>SNC extrait</t>
  </si>
  <si>
    <t>VZ1990</t>
  </si>
  <si>
    <t>VZ2000</t>
  </si>
  <si>
    <t>BEVNAT</t>
  </si>
  <si>
    <t>Commander les données</t>
  </si>
  <si>
    <t>Producteur</t>
  </si>
  <si>
    <t>Synopsis</t>
  </si>
  <si>
    <t>OFS</t>
  </si>
  <si>
    <t>Statistique de la population et des ménages Mouvements</t>
  </si>
  <si>
    <t>Relevé structurel</t>
  </si>
  <si>
    <t>Statistique du mouvement naturel de la population</t>
  </si>
  <si>
    <t>2010-2019</t>
  </si>
  <si>
    <t>ISPM</t>
  </si>
  <si>
    <t>Extrait SNC</t>
  </si>
  <si>
    <t>1990, 2000, 2010-2019</t>
  </si>
  <si>
    <t>Recensement 1990</t>
  </si>
  <si>
    <t>Recensement 2000</t>
  </si>
  <si>
    <t>Années</t>
  </si>
  <si>
    <t>Remarques</t>
  </si>
  <si>
    <t>Variable</t>
  </si>
  <si>
    <t>Valeurs</t>
  </si>
  <si>
    <t>statDate</t>
  </si>
  <si>
    <t>1
2
3
4
5
6</t>
  </si>
  <si>
    <t>Année statistique</t>
  </si>
  <si>
    <t>AAAA</t>
  </si>
  <si>
    <t>Pays de naissance</t>
  </si>
  <si>
    <t>sex</t>
  </si>
  <si>
    <t>Sexe</t>
  </si>
  <si>
    <t>Sex</t>
  </si>
  <si>
    <t>maritalStatus</t>
  </si>
  <si>
    <t>1
2
3
4
5
6
7
-9</t>
  </si>
  <si>
    <t>dateOfMaritalStatus</t>
  </si>
  <si>
    <t>AAAA-MM-JJ
9998-12-31
9999-12-31</t>
  </si>
  <si>
    <t>dateOfSeparation</t>
  </si>
  <si>
    <t>nationalityState</t>
  </si>
  <si>
    <t>reportingMunicipalityId</t>
  </si>
  <si>
    <t>1
2
3</t>
  </si>
  <si>
    <t>CHarrivalDate</t>
  </si>
  <si>
    <t>1
0</t>
  </si>
  <si>
    <t>movingDate</t>
  </si>
  <si>
    <t>1
2
3
4</t>
  </si>
  <si>
    <t>residentPermit</t>
  </si>
  <si>
    <t>1
2
3
4
5
6
7
8
9
10
11
12
13
-2
-9</t>
  </si>
  <si>
    <t>municipalityResidence5YearAgo</t>
  </si>
  <si>
    <t>Commune de domicile il y a 5 ans</t>
  </si>
  <si>
    <t>householdId</t>
  </si>
  <si>
    <t>federalBuildingId</t>
  </si>
  <si>
    <t>1-900000000
99999nnnn
-9</t>
  </si>
  <si>
    <t>federalDwellingId</t>
  </si>
  <si>
    <t>1-998
999
-9</t>
  </si>
  <si>
    <t>Commande de données (x)</t>
  </si>
  <si>
    <t>Fichier</t>
  </si>
  <si>
    <t>Année(s)</t>
  </si>
  <si>
    <t>Statistique de la population et des ménages Effectifs et Ménages</t>
  </si>
  <si>
    <t>DateMove</t>
  </si>
  <si>
    <t>2011-2019</t>
  </si>
  <si>
    <t>Description</t>
  </si>
  <si>
    <t>YYYY</t>
  </si>
  <si>
    <t>STATPOP_mouvements</t>
  </si>
  <si>
    <t>Relevé Structurel</t>
  </si>
  <si>
    <t>STAT-BL</t>
  </si>
  <si>
    <t>Enquête sur la santé 1992</t>
  </si>
  <si>
    <t>Public Use File</t>
  </si>
  <si>
    <t>PUF</t>
  </si>
  <si>
    <t>1990-2019</t>
  </si>
  <si>
    <t>v9_id</t>
  </si>
  <si>
    <t>LAUF</t>
  </si>
  <si>
    <t>v0_id</t>
  </si>
  <si>
    <t>P-PERSON_ID</t>
  </si>
  <si>
    <t>mortid</t>
  </si>
  <si>
    <t>LAUF_KS_N</t>
  </si>
  <si>
    <t>link50</t>
  </si>
  <si>
    <t>0
1
2
3
4
9
10</t>
  </si>
  <si>
    <t>dstart</t>
  </si>
  <si>
    <t>DD/MM/YYYY</t>
  </si>
  <si>
    <t>dstop</t>
  </si>
  <si>
    <t>stopcode</t>
  </si>
  <si>
    <t>1
2
3
4
5
93
94</t>
  </si>
  <si>
    <t>imputed</t>
  </si>
  <si>
    <t>0
1
.</t>
  </si>
  <si>
    <t>dstop_imputed</t>
  </si>
  <si>
    <t>stopcode_imputed</t>
  </si>
  <si>
    <t>1
2
3
4
5
6
93
94
96</t>
  </si>
  <si>
    <t>YYYY-MM-DD -&gt; DD/MM/YYYY
9999-12-31 -&gt; .</t>
  </si>
  <si>
    <t>EREIGNIS_D</t>
  </si>
  <si>
    <t>Date</t>
  </si>
  <si>
    <t>yod</t>
  </si>
  <si>
    <t>last_demig</t>
  </si>
  <si>
    <t xml:space="preserve">Date </t>
  </si>
  <si>
    <t>0
1</t>
  </si>
  <si>
    <t>male
female</t>
  </si>
  <si>
    <t>1
2</t>
  </si>
  <si>
    <t>1 -&gt; 0
2 -&gt; 1</t>
  </si>
  <si>
    <t>last_census_seen</t>
  </si>
  <si>
    <t>31/12/YYYY
.</t>
  </si>
  <si>
    <t>totweight</t>
  </si>
  <si>
    <t>189.5001-1386.066
.</t>
  </si>
  <si>
    <t>2000-2011</t>
  </si>
  <si>
    <t>zar</t>
  </si>
  <si>
    <t>2001-2010</t>
  </si>
  <si>
    <t>death_count</t>
  </si>
  <si>
    <t>ZAEHLEN_CD_N</t>
  </si>
  <si>
    <t>natbirth</t>
  </si>
  <si>
    <t>8100 -&lt; 8998
8998
8999</t>
  </si>
  <si>
    <t>stateOfBirthHist</t>
  </si>
  <si>
    <t xml:space="preserve">8100 - 9999
-1
-6
-9 </t>
  </si>
  <si>
    <t xml:space="preserve">8100 - 8997 -&gt; 8100 - 8997
-1 -&gt; 8998
-6 -&gt; 8999
-9 -&gt; 8999
</t>
  </si>
  <si>
    <t>vY_comm</t>
  </si>
  <si>
    <t>1-6806</t>
  </si>
  <si>
    <t>1990, 2000</t>
  </si>
  <si>
    <t>zgde (1990)
p_zgde (2000)</t>
  </si>
  <si>
    <t>0 - 9999
-9</t>
  </si>
  <si>
    <t>0 - 9999 -&gt; 0 - 9999
-9 -&gt; .</t>
  </si>
  <si>
    <t>r11_comm2006</t>
  </si>
  <si>
    <t>1-6810
.d</t>
  </si>
  <si>
    <t>1 - 7000
-3
-4
-9</t>
  </si>
  <si>
    <t>1 - 7000 -&gt; 1 - 7000
-3 -&gt; .d
-4 -&gt; .
-9 -&gt; .</t>
  </si>
  <si>
    <t>rYY_comm</t>
  </si>
  <si>
    <t>1-6810</t>
  </si>
  <si>
    <t>m_comm</t>
  </si>
  <si>
    <t>WORT_AKT_GEM|ST_N/Personne décédée : commune de domicile ou Etat</t>
  </si>
  <si>
    <t>r11_commyears</t>
  </si>
  <si>
    <t>0 - 109 
.</t>
  </si>
  <si>
    <t>municipalityStayYears</t>
  </si>
  <si>
    <t>0-120
-5
-9</t>
  </si>
  <si>
    <t>r11_commsincebirth</t>
  </si>
  <si>
    <t>r11_dmove</t>
  </si>
  <si>
    <t>DD/MM/YYYY
.</t>
  </si>
  <si>
    <t>AAAA-MM-JJ -&gt; DD/MM/YYYY
9998-12-31 -&gt; .
9999-12-31 -&gt; .</t>
  </si>
  <si>
    <t>1
2
3
4
5
6
7
8
9
10
11
12
13
14
15
16
17
18
19
20
21
22
23
24
25
26
.</t>
  </si>
  <si>
    <t>kant (1990)
p_kant (2000)</t>
  </si>
  <si>
    <t xml:space="preserve">1
2
3
4
5
6
7
8
9
10
11
12
13
14
15
16
17
18
19
20
21
22
23
24
25
26
</t>
  </si>
  <si>
    <t>1
2
3
4
.</t>
  </si>
  <si>
    <t>1
2
3
.</t>
  </si>
  <si>
    <t>1 -&gt; 1
2 -&gt; 2
3 -&gt; 2
4 -&gt; 3</t>
  </si>
  <si>
    <t>r11_canton2006</t>
  </si>
  <si>
    <t>r11_lang2006</t>
  </si>
  <si>
    <t>r11_urban2006</t>
  </si>
  <si>
    <t>vY_civil</t>
  </si>
  <si>
    <t xml:space="preserve">1
2
3
4
. </t>
  </si>
  <si>
    <t>zivl (1990)
p_zivl (2000)</t>
  </si>
  <si>
    <t xml:space="preserve">1
2
3
4
</t>
  </si>
  <si>
    <t>rYY_civil</t>
  </si>
  <si>
    <t>m_civil</t>
  </si>
  <si>
    <t>1990 - 2019</t>
  </si>
  <si>
    <t>P_ZST_CD_N/Personne décédée : état civil</t>
  </si>
  <si>
    <t>rYY_dcivil</t>
  </si>
  <si>
    <t>DD/MM/YYYY
.b
.a</t>
  </si>
  <si>
    <t>DD/MM/YYYY
9998-12-31
9999-12-31</t>
  </si>
  <si>
    <t>m_dmar</t>
  </si>
  <si>
    <t>HEIRAT_D/date de mariage</t>
  </si>
  <si>
    <t>m_ddiv</t>
  </si>
  <si>
    <t>SCHEIDUNG_D/date de divorce/décès du conjoint</t>
  </si>
  <si>
    <t>rYY_dseparation</t>
  </si>
  <si>
    <t>AAAA-MM-JJ -&gt; DD/MM/YYYY
9998-12-31 -&gt; .b
9999-12-31 -&gt; .a</t>
  </si>
  <si>
    <t>dswiss</t>
  </si>
  <si>
    <t>dateOfAcquisitionSwiss</t>
  </si>
  <si>
    <t>AAAA-MM-JJ
9997-12-31
9998-12-31
9999-12-31</t>
  </si>
  <si>
    <t>AAAA-MM-JJ -&gt; DD/MM/YYYY
9997-12-31 -&gt; .
9998-12-31 -&gt; .
9999-12-31 -&gt; .</t>
  </si>
  <si>
    <t>v9_nat</t>
  </si>
  <si>
    <t xml:space="preserve">8100 -&lt; 8998
8998
.
</t>
  </si>
  <si>
    <t xml:space="preserve">nati </t>
  </si>
  <si>
    <t xml:space="preserve">0
8201  -&lt; 8998
8998
</t>
  </si>
  <si>
    <t>v0_nat</t>
  </si>
  <si>
    <t>8100 -&lt; 8998
8998
8999
.</t>
  </si>
  <si>
    <t xml:space="preserve">p_nati </t>
  </si>
  <si>
    <t>8100  -&lt; 8998
8998
8999</t>
  </si>
  <si>
    <t>rYY_nat</t>
  </si>
  <si>
    <t>m_nat</t>
  </si>
  <si>
    <t>HST_ST_AKT_N/Personne décédée : nationalité</t>
  </si>
  <si>
    <t>v9_permit</t>
  </si>
  <si>
    <t>0
1
2
3
4
5
6
.</t>
  </si>
  <si>
    <t xml:space="preserve">ausw </t>
  </si>
  <si>
    <t xml:space="preserve">0
1
2
3
4
6
7
</t>
  </si>
  <si>
    <t>v0_permit</t>
  </si>
  <si>
    <t>p_ausw</t>
  </si>
  <si>
    <t>1
2
3
4
6
7
8
9
-9</t>
  </si>
  <si>
    <t>rYY_permit</t>
  </si>
  <si>
    <t>0
1
2
4
5
6
.</t>
  </si>
  <si>
    <t>rYY_dch_arriv</t>
  </si>
  <si>
    <t>DD/MM/YYYY
.a
.c
.</t>
  </si>
  <si>
    <t>YYYY-MM-DD
9997-12-31
9999-12-31</t>
  </si>
  <si>
    <t>AAAA-MM-JJ -&gt; DD/MM/YYYY
9997-12-31 -&gt; .c 
9999-12-31 -&gt; .a</t>
  </si>
  <si>
    <t>v9_hhid</t>
  </si>
  <si>
    <t>1 - 2859766
.</t>
  </si>
  <si>
    <t xml:space="preserve">Please see column detailed description for the explanation how this variable was generated. </t>
  </si>
  <si>
    <t>v0_hhid</t>
  </si>
  <si>
    <t xml:space="preserve">5 - 4997081
. </t>
  </si>
  <si>
    <t>5-4997081</t>
  </si>
  <si>
    <t>rYY_hhid</t>
  </si>
  <si>
    <t>20YYXXXXXXXXXX
.</t>
  </si>
  <si>
    <t>20YYXXXXXXXXXX
-9</t>
  </si>
  <si>
    <t>20YYXXXXXXXXXX -&gt; 20YYXXXXXXXXXX
20YYcccc999999 -&gt; .
-9 -&gt; .</t>
  </si>
  <si>
    <t>vY_hhpers</t>
  </si>
  <si>
    <t xml:space="preserve">1 - 6831
. </t>
  </si>
  <si>
    <t xml:space="preserve">aperw (1990)
p_aperw (2000)
</t>
  </si>
  <si>
    <t>1 - 9999
-9</t>
  </si>
  <si>
    <t>1 - 9999 -&gt; 1 - 9999
-9 -&gt; .</t>
  </si>
  <si>
    <t>rYY_hhpers</t>
  </si>
  <si>
    <t>1- &lt; 500
.</t>
  </si>
  <si>
    <t>countOfPersonTotal</t>
  </si>
  <si>
    <t>vY_hhtyp2</t>
  </si>
  <si>
    <t>1
2
3
4
5
6
7
.</t>
  </si>
  <si>
    <t>hhtpw (1990)
p_hhtpw (2000)</t>
  </si>
  <si>
    <t>1000
21XX
22XX
23XX
24XX
31XX
32XX
91XX
92XX
98XX
-9</t>
  </si>
  <si>
    <t>v9_religion1</t>
  </si>
  <si>
    <t>1
2
3
4
5
6
7
8
9
10
11
12
13
14
.</t>
  </si>
  <si>
    <t>konf</t>
  </si>
  <si>
    <t>0
111
112
113
121
122
130
140
151
152
153
200
300
411
412
413
500</t>
  </si>
  <si>
    <t>0 -&gt; 14
111 -&gt; 1
112 -&gt; 2
113 -&gt; 5
121 -&gt; 6
122 -&gt; 6
130 -&gt; 7
140 -&gt; 8
151 -&gt; 3
152 -&gt; 4
153 -&gt; 9
200 -&gt; 10
300 -&gt; 11
411 -&gt; 13
412 -&gt; 13
413 -&gt; 13
500 -&gt; 12</t>
  </si>
  <si>
    <t>1
2
3
4
5
6
7
8
9
.</t>
  </si>
  <si>
    <t>v0_religion1</t>
  </si>
  <si>
    <t>p_rel</t>
  </si>
  <si>
    <t>111
112
113
114
115
116
117
120
130
140
150
200
300
401
402
403
500
600</t>
  </si>
  <si>
    <t>111 -&gt; 1
112 -&gt; 2
113 -&gt; 5
114 -&gt; 5
115 -&gt; 3
116 -&gt; 4
117 -&gt; 5
120 -&gt; 6
130 -&gt; 7
140 -&gt; 8
150 -&gt; 9
200 -&gt; 10
300 -&gt; 11
401 -&gt; 13
402 -&gt; 13
403 -&gt; 13 
500 -&gt; 12
600 -&gt; 14</t>
  </si>
  <si>
    <t>v9_sopc3</t>
  </si>
  <si>
    <t>sopk (1990)</t>
  </si>
  <si>
    <t>10
20
31
32
33/34
41/42
43
44
51/52
53
54
61/62
63
64
71
72
73/74
81
82
83/84
90
100
201
202
203
204
205</t>
  </si>
  <si>
    <t>10 -&gt; 1
20 -&gt; 1
31 -&gt; 2
32 -&gt; 2
33/34 -&gt; 2
41/42 -&gt; 3
43 -&gt; 3
44 -&gt; 3
51/52 -&gt; 4
53 -&gt; 4
54 -&gt; 4
61/62 -&gt; 4
63 -&gt; 4
64 -&gt; 4
71 -&gt; 4
72 -&gt; 4
73/74 -&gt; 4
81 -&gt; 5
82 -&gt; 5
83/84 -&gt; 5
90 -&gt; 6
100 -&gt; 7
201 -&gt; 8
202 -&gt; 8
203 -&gt; 8
204 -&gt; 9
205 -&gt; 8</t>
  </si>
  <si>
    <t>v0_sopc3</t>
  </si>
  <si>
    <t>p_sopk (2000)</t>
  </si>
  <si>
    <t>10
20
31
32
33
34
41
42
43
44
51
52
53
54
62
63
64
71
72
73
74
81
82
83
84
91
92
200
301
302
303
304
305
400</t>
  </si>
  <si>
    <t>10 -&gt; 1
20 -&gt; 1
31 -&gt; 2
32 -&gt; 2
33 -&gt; 2
34 -&gt; 2
41 -&gt; 3
42 -&gt; 3
43 -&gt; 3
44 -&gt; 3
51 -&gt; 4 
52 -&gt; 4
53 -&gt; 4
54 -&gt; 4
62 -&gt; 4
63 -&gt; 4
64 -&gt; 4
71 -&gt; 4
72 -&gt; 4
73 -&gt; 4 
74 -&gt; 4
81 -&gt; 5 
82 -&gt; 5
83 -&gt; 5
84 -&gt; 5
91 -&gt; 6
92 -&gt; 6
200 -&gt; 7
301 -&gt; 8
302 -&gt; 8 
303 -&gt; 8 
304 -&gt; 8
305 -&gt; 8
400 -&gt; 9</t>
  </si>
  <si>
    <t>v9_educ_curr2</t>
  </si>
  <si>
    <t>0
1
2
3
4
5
.</t>
  </si>
  <si>
    <t xml:space="preserve">gegw (1990)
</t>
  </si>
  <si>
    <t xml:space="preserve">0
2
3
4
5
6
7
8
</t>
  </si>
  <si>
    <t>v0_educ_curr2</t>
  </si>
  <si>
    <t>p_gegw (2000)</t>
  </si>
  <si>
    <t>11
12
21
22
23
31
32
33
34
-7
-8
-9</t>
  </si>
  <si>
    <t>11 -&gt; 1
12 -&gt; 1
21 -&gt; 2
22 -&gt; 2
23 -&gt; 2
31 -&gt; 3
32 -&gt; 3
33 -&gt; 3
34 -&gt; 3
-7 -&gt; 4
-8 -&gt; 0
-9 -&gt; 5</t>
  </si>
  <si>
    <t>v9_educ</t>
  </si>
  <si>
    <t>1
2
3
4
5
.</t>
  </si>
  <si>
    <t xml:space="preserve">habg 
</t>
  </si>
  <si>
    <t xml:space="preserve">0
1
2
3
4
5
6
7
8
</t>
  </si>
  <si>
    <t>v0_educ</t>
  </si>
  <si>
    <t xml:space="preserve">p_habg 
</t>
  </si>
  <si>
    <t>01
11
12
21
22
23
31
32
33
34
-7
-8
-9</t>
  </si>
  <si>
    <t>v9_educ_p</t>
  </si>
  <si>
    <t>v0_educ_p</t>
  </si>
  <si>
    <t>v0_ssep</t>
  </si>
  <si>
    <t>Swiss-SEP index 2000</t>
  </si>
  <si>
    <t>0-100
.</t>
  </si>
  <si>
    <t>v9_buildid</t>
  </si>
  <si>
    <t>v0_buildid</t>
  </si>
  <si>
    <t>p_gebaeude_id</t>
  </si>
  <si>
    <t>000000001 - 999999999</t>
  </si>
  <si>
    <t>rYY_buildid</t>
  </si>
  <si>
    <t>397997276-899999999 (2019)
.</t>
  </si>
  <si>
    <t>1-900000000 -&gt; 1-900000000
99999nnnn -&gt; .
-9 -&gt; .</t>
  </si>
  <si>
    <t>vY_flatid</t>
  </si>
  <si>
    <t>p_wgnr (1990)
P_wohnung_nr (2000)</t>
  </si>
  <si>
    <t>0001 bis 9999</t>
  </si>
  <si>
    <t>Eindeutig innerhalb des Gebäudes</t>
  </si>
  <si>
    <t>rYY_flatid</t>
  </si>
  <si>
    <t>1-998 -&gt; 1-998
999 -&gt; .
-9 -&gt; .</t>
  </si>
  <si>
    <t>486217-831184
.</t>
  </si>
  <si>
    <t>g_xach</t>
  </si>
  <si>
    <t>geoCoordE</t>
  </si>
  <si>
    <t>75517-294820
.</t>
  </si>
  <si>
    <t>g_yach</t>
  </si>
  <si>
    <t>geoCoordN</t>
  </si>
  <si>
    <t>dis_init_icd8_3d</t>
  </si>
  <si>
    <t xml:space="preserve">10-988
. </t>
  </si>
  <si>
    <t>1990-1994</t>
  </si>
  <si>
    <t>Code maladie initiale</t>
  </si>
  <si>
    <t>1-999</t>
  </si>
  <si>
    <t>dis_init_icd8_det</t>
  </si>
  <si>
    <t>0-99
.</t>
  </si>
  <si>
    <t>Maladie initiale, détail</t>
  </si>
  <si>
    <t>dis_conc1_icd8_3d</t>
  </si>
  <si>
    <t>0-979
.</t>
  </si>
  <si>
    <t>1ère maladie concomitante</t>
  </si>
  <si>
    <t>0-999</t>
  </si>
  <si>
    <t>dis_conc1_icd8_det</t>
  </si>
  <si>
    <t>1ère maladie concomitante, détail</t>
  </si>
  <si>
    <t>1ère maladie concomitante, code complémentaire</t>
  </si>
  <si>
    <t>0-9</t>
  </si>
  <si>
    <t>dis_conc2_icd8_3d</t>
  </si>
  <si>
    <t>0-997
.</t>
  </si>
  <si>
    <t>1995-2019</t>
  </si>
  <si>
    <t>2e maladie concomitante</t>
  </si>
  <si>
    <t>dis_conc2_icd8_det</t>
  </si>
  <si>
    <t>2e maladie concomitante, détail</t>
  </si>
  <si>
    <t>0-99</t>
  </si>
  <si>
    <t>2e maladie concomitante, code complémentaire</t>
  </si>
  <si>
    <t>dis_init_icd10</t>
  </si>
  <si>
    <t>A010-Z992
.</t>
  </si>
  <si>
    <t xml:space="preserve">WHO classification ICD-10 </t>
  </si>
  <si>
    <t>dis_cons_icd10</t>
  </si>
  <si>
    <t>dis_conc1_icd10</t>
  </si>
  <si>
    <t>dis_conc2_icd10</t>
  </si>
  <si>
    <t>A020-Z999
.</t>
  </si>
  <si>
    <t>cause_prim_icd10</t>
  </si>
  <si>
    <t>A480-Y219
.</t>
  </si>
  <si>
    <t>A010-Y899
.</t>
  </si>
  <si>
    <t>0
1
2
3
4
5
6
7
8</t>
  </si>
  <si>
    <t>Extrait_SNC</t>
  </si>
  <si>
    <t>P_RART</t>
  </si>
  <si>
    <t>Type d’enregistrement</t>
  </si>
  <si>
    <t>5</t>
  </si>
  <si>
    <t>Enregistrement correspondant à une personne</t>
  </si>
  <si>
    <t>P_KANT</t>
  </si>
  <si>
    <t>Canton de recensement</t>
  </si>
  <si>
    <t>01 à 26</t>
  </si>
  <si>
    <t>ZH à JU, voir liste 1.</t>
  </si>
  <si>
    <t>P_ZGDE</t>
  </si>
  <si>
    <t>Commune de recensement</t>
  </si>
  <si>
    <t>0001 à 6806</t>
  </si>
  <si>
    <t>Aeugst am Albis … Vendlincourt</t>
  </si>
  <si>
    <t>Communes de la Suisse, selon répertoire au 5 décembre 2000</t>
  </si>
  <si>
    <t>P_GEBAEUDE_ID</t>
  </si>
  <si>
    <t>Identificateur du bâtiment</t>
  </si>
  <si>
    <t>000000001 à 999999999</t>
  </si>
  <si>
    <t>Numéro univoque en Suisse</t>
  </si>
  <si>
    <t>P_HHNR</t>
  </si>
  <si>
    <t>Identificateur du ménage</t>
  </si>
  <si>
    <t>Numéro univoque en Suisse. Toutes les personnes d’un même ménage ont le même numéro.</t>
  </si>
  <si>
    <t>P_WOHNUNG_NR</t>
  </si>
  <si>
    <t>Numéro du logement</t>
  </si>
  <si>
    <t>0001 à 9999</t>
  </si>
  <si>
    <t>P_PERSON_ID</t>
  </si>
  <si>
    <t>Identificateur de la personne</t>
  </si>
  <si>
    <t>Numéro univoque en Suisse. Cas avec double domicile, voir sous P_PARTNR</t>
  </si>
  <si>
    <t>P_ZKRS</t>
  </si>
  <si>
    <t>Secteur de recensement</t>
  </si>
  <si>
    <t>00000001 à 99999999
-7</t>
  </si>
  <si>
    <t xml:space="preserve">
Nouveaux bâtiments, pas de secteur attribué</t>
  </si>
  <si>
    <t>Correspond au GLOC1 du Registre des bâtiments et des logements (RegBL).</t>
  </si>
  <si>
    <t>P_GLOC2</t>
  </si>
  <si>
    <t>Code local 2 (quartier etc)</t>
  </si>
  <si>
    <t>Les codes locaux sont définis par les communes</t>
  </si>
  <si>
    <t>P_GLOC3</t>
  </si>
  <si>
    <t>Code local 3</t>
  </si>
  <si>
    <t>Code local de réserve</t>
  </si>
  <si>
    <t>P_GLOC4</t>
  </si>
  <si>
    <t xml:space="preserve">Code local 4 </t>
  </si>
  <si>
    <t>P_WKAT</t>
  </si>
  <si>
    <t>Catégorie de domicile</t>
  </si>
  <si>
    <t>1
3
4</t>
  </si>
  <si>
    <t>Un seul domicile
Domicile principal et de séjour
Domicile d'appoint et civil</t>
  </si>
  <si>
    <t xml:space="preserve">Population économique = 1 et 3
Population civile = 1 et 4
</t>
  </si>
  <si>
    <t>P_GEM2</t>
  </si>
  <si>
    <t>Commune du deuxième domicile</t>
  </si>
  <si>
    <t>0001 à 6806
7001-7011
-007
-009</t>
  </si>
  <si>
    <t xml:space="preserve">Aeugst am Albis … Vendlincourt
Communes du Liechtenstein
Pas d'enregistrement partenaire
Un seul domicile (catégorie de domicile = 1) 
</t>
  </si>
  <si>
    <t>P_PARTNR</t>
  </si>
  <si>
    <t>Identificateur de personne de l’enregistrement partenaire</t>
  </si>
  <si>
    <t>000000001 à
999999999
-7
-9</t>
  </si>
  <si>
    <t xml:space="preserve">Numéro de l'enregistrement partenaire au 2e domicile, si le second domicile est en Suisse ou au Liechtenstein (pour les catégories de domicile = 3 ou 4)
Pas d'enregistrement partenaire
Un seul domicile (catégorie de domicile = 1) </t>
  </si>
  <si>
    <t>P_GETG</t>
  </si>
  <si>
    <t>Jour de la naissance</t>
  </si>
  <si>
    <t>01 à 31</t>
  </si>
  <si>
    <t>P_GEMT</t>
  </si>
  <si>
    <t>Mois de la naissance</t>
  </si>
  <si>
    <t>01 à 12</t>
  </si>
  <si>
    <t>P_GEJA</t>
  </si>
  <si>
    <t>Année de la naissance</t>
  </si>
  <si>
    <t>1890 à 2000</t>
  </si>
  <si>
    <t>P_ALTJ</t>
  </si>
  <si>
    <t>Age</t>
  </si>
  <si>
    <t>000
001 à 110</t>
  </si>
  <si>
    <t>Moins d’un an
1 … 110</t>
  </si>
  <si>
    <t>Calcul: 2000 moins année de naissance</t>
  </si>
  <si>
    <t>P_AKL5</t>
  </si>
  <si>
    <t>Classes d’âges quinquennales</t>
  </si>
  <si>
    <t>00
01
05
10
…
95
96
97</t>
  </si>
  <si>
    <t>Moins d'un an
1 à 4 ans
5 à 9 ans
10 à 14 ans
…
95 à 99 ans
100 à 104 ans
105 ans et plus</t>
  </si>
  <si>
    <t>P_AGRP</t>
  </si>
  <si>
    <t>Ages de la vie</t>
  </si>
  <si>
    <t>00
07
16
20
25
45
65
80</t>
  </si>
  <si>
    <t xml:space="preserve">0 à 6 ans, préscolaires
7 à 15 ans, scolaires
16 à 19 ans, adolescents
20 à 24 ans, jeunes adultes
25 à 44 ans, adultes d'âge moyen
45 à 64 ans, adultes d'âge mûr
65 à 79 ans, 3e âge
80 ans et plus, 4e âge </t>
  </si>
  <si>
    <t>P_VALTJ</t>
  </si>
  <si>
    <t>Age révolu</t>
  </si>
  <si>
    <t>Moins d'un an
1 … 110</t>
  </si>
  <si>
    <t>Calcul: jour du recensement moins jour de naissance
(personnes nées entre le 5 décembre 1999 et le 4 décembre 2000 ont moins d'un an révolu; entre le  5 décembre 1998 et le 4 décembre 1999, 1 an révolu, etc.).</t>
  </si>
  <si>
    <t>P_GORT</t>
  </si>
  <si>
    <t>Domicile au moment de la naissance</t>
  </si>
  <si>
    <t>01
03
04
05
06
-7</t>
  </si>
  <si>
    <t>Même commune, même canton
Autre commune, même canton
Autre commune, autre canton
En Suisse, sans autre précision
A l'étranger
Sans indication</t>
  </si>
  <si>
    <t>P_GORTCH</t>
  </si>
  <si>
    <t>Commune au moment de la naissance</t>
  </si>
  <si>
    <t>0001 à 6806
6999
-007
-008</t>
  </si>
  <si>
    <t>Aeugst am Albis … Vendlincourt
En Suisse, sans autre précision
Sans indication
A l'étranger</t>
  </si>
  <si>
    <t>Les personnes avec une valeur entre 0001 et 6806 ont la valeur -008 dans P_GORTAUS (cf. variable ci-après).</t>
  </si>
  <si>
    <t>P_GORTAUS</t>
  </si>
  <si>
    <t>8201 à 8619
8999
-007
-008</t>
  </si>
  <si>
    <t>8201 … 8619, voir liste 3b.
A l'étranger, sans autre précision
Sans indication
En Suisse</t>
  </si>
  <si>
    <t>Répertoire 2000 des codes relatifs aux pays, liste 3b. Les personnes avec une valeur entre 8201-8619 ont la valeur -008 dans P_GORTCH (cf. variable précédente).</t>
  </si>
  <si>
    <t>P_GESL</t>
  </si>
  <si>
    <t>Hommes
Femmes</t>
  </si>
  <si>
    <t>P_ZIVL</t>
  </si>
  <si>
    <t>Etat civil</t>
  </si>
  <si>
    <t>Célibataires
Mariés, y compris séparés
Veufs
Divorcés</t>
  </si>
  <si>
    <t>P_ZIVJ</t>
  </si>
  <si>
    <t>Année du dernier événement d’état civil</t>
  </si>
  <si>
    <t>1895 à 2000
-007
-009</t>
  </si>
  <si>
    <t>1895 … 2000
Sans indication
Célibataires</t>
  </si>
  <si>
    <t>P_HMAT</t>
  </si>
  <si>
    <t>Nationalité</t>
  </si>
  <si>
    <t>Suisses
Etrangers</t>
  </si>
  <si>
    <t>P_CHJA</t>
  </si>
  <si>
    <t>Année d’acquisition de la nationalité suisse</t>
  </si>
  <si>
    <t>1890 à 2000
-007
-008
-009</t>
  </si>
  <si>
    <t>1890 … 2000
Sans indication
Suisses de naissance
Etrangers</t>
  </si>
  <si>
    <t>P_ZNAT</t>
  </si>
  <si>
    <t>Deuxième nationalité</t>
  </si>
  <si>
    <t>8201 à 8619
-007
-009</t>
  </si>
  <si>
    <t>8201 … 8619, voir liste 4.
Suisses uniquement ou sans indication
Etrangers</t>
  </si>
  <si>
    <t>Répertoire des codes relatifs aux pays, liste 4.</t>
  </si>
  <si>
    <t>P_NATI</t>
  </si>
  <si>
    <t>Nationalité par pays</t>
  </si>
  <si>
    <t>8201 à 8619
8998
8100</t>
  </si>
  <si>
    <t>8201 … 8619, voir liste 3b.
Apatrides
Suisses</t>
  </si>
  <si>
    <t>Recodes standard dans SuperCross pour le regroupement des pays, cf. liste 3b.</t>
  </si>
  <si>
    <t>P_NATUNO</t>
  </si>
  <si>
    <t>Groupes de pays selon l’ONU</t>
  </si>
  <si>
    <t>01
11 à 73
89</t>
  </si>
  <si>
    <t>Suisse
11 … 73
Apatrides</t>
  </si>
  <si>
    <t>Répertoires des pays selon l'ONU, liste 3a.</t>
  </si>
  <si>
    <t>P_AUSW</t>
  </si>
  <si>
    <t>Type d’autorisation de séjour</t>
  </si>
  <si>
    <t>01
02
03
04
06
07
08
09
-9</t>
  </si>
  <si>
    <t>Autorisation d'établissement (permis C)
Autorisation de séjour annuel (permis B)
Autorisation saisonnière (permis A)
Requérants d'asile (permis N)
Etrangers admis provisoirement (permis F)
Autorisation de séjour de courte durée (permis L)
Autorisation du DFAE
Autre statut
Suisses</t>
  </si>
  <si>
    <t>Il n’y avait aucune personne disposant d'un permis S (personne à protéger) au 5 décembre 2000.</t>
  </si>
  <si>
    <t>P_WO5M</t>
  </si>
  <si>
    <t>Domicile il y a 5 ans</t>
  </si>
  <si>
    <t>01
02
03
04
05
06
-7
-9</t>
  </si>
  <si>
    <t>Même adresse, même commune
Autre adresse, même commune
Autre commune, même canton
Autre commune, autre canton
En Suisse, sans autre précision
A l'étranger
Sans indication
Enfants de moins de 5 ans</t>
  </si>
  <si>
    <t>P_WO5CH</t>
  </si>
  <si>
    <t>0001 à 6806
6999
-007
-008
-009</t>
  </si>
  <si>
    <t>Aeugst am Albis … Vendlincourt
En Suisse, sans autre précision
Sans indication
A l'étranger
Enfants de moins de 5 ans</t>
  </si>
  <si>
    <t>P_WO5AUS</t>
  </si>
  <si>
    <t xml:space="preserve">Pays de domicile il y a 5 ans </t>
  </si>
  <si>
    <t>8201 à 8619
8999
-007
-008
-009</t>
  </si>
  <si>
    <t>8201 … 8619, voir liste 3b.
A l'étranger, sans autre précision
Sans indication
En Suisse
Enfants de moins de 5 ans</t>
  </si>
  <si>
    <t>P_ELTERN</t>
  </si>
  <si>
    <t>Parent</t>
  </si>
  <si>
    <t>01
00
-7
-9</t>
  </si>
  <si>
    <t xml:space="preserve">Oui
Non
Sans indication
Pas en âge d'avoir d'enfant </t>
  </si>
  <si>
    <t>Les filles de 0 à 11 ans et les garçons de 0 à 14 reçoivent le code -9.</t>
  </si>
  <si>
    <t>P_ZKIND</t>
  </si>
  <si>
    <t>Nombre d’enfants</t>
  </si>
  <si>
    <t>01 à 20
-7
-8
-9</t>
  </si>
  <si>
    <t xml:space="preserve">1 … 20
Sans indication
Pas d'enfant
Pas en âge d'avoir d'enfant </t>
  </si>
  <si>
    <t>Les filles de 0 à 11 ans et les garçons de 0 à 14 reçoivent le code -9.
Le code -7 correspond à des indications manquantes, lorsque P_ELTERN=1 mais qu'aucune autre indication n'existait (valable aussi pour P_GJKIND_1 à P_GJKIND_J).</t>
  </si>
  <si>
    <t>P_GJKIND_1</t>
  </si>
  <si>
    <t>Année de naissance du premier enfant</t>
  </si>
  <si>
    <t>1902 à 2000
-007
-008
-009</t>
  </si>
  <si>
    <t xml:space="preserve">1902...2000
Sans indication
Pas d'enfant
Pas en âge d'avoir d'enfant </t>
  </si>
  <si>
    <t>P_GJKIND_2</t>
  </si>
  <si>
    <t>Année de naissance du deuxième enfant</t>
  </si>
  <si>
    <t xml:space="preserve">1902...2000
Sans indication
Pas d'autre enfant
Pas en âge d'avoir d'enfant </t>
  </si>
  <si>
    <t>P_GJKIND_3</t>
  </si>
  <si>
    <t>Année de naissance du troisième enfant</t>
  </si>
  <si>
    <t>P_GJKIND_4</t>
  </si>
  <si>
    <t>Année de naissance du quatrième enfant</t>
  </si>
  <si>
    <t>P_GJKIND_L</t>
  </si>
  <si>
    <t xml:space="preserve">Année de naissance du dernier-né </t>
  </si>
  <si>
    <t>Valable pour plus de 4 enfants
 Les filles de 0 à 11 ans et les garçons de 0 à 14 reçoivent le code -009.</t>
  </si>
  <si>
    <t>P_GJKIND_J</t>
  </si>
  <si>
    <t>Année de naissance du plus jeune des enfants</t>
  </si>
  <si>
    <t>P_STHHZ</t>
  </si>
  <si>
    <t>Situation dans le ménage pour la population civile</t>
  </si>
  <si>
    <t>111 à 300
-09</t>
  </si>
  <si>
    <t>111 … 300, voir liste 5.
Personnes avec domicile non civil</t>
  </si>
  <si>
    <t>Population civile seulement (catégories 1 et 4). Répertoire des codes relatifs à la situation dans le ménage, liste 5.</t>
  </si>
  <si>
    <t>P_STHHW</t>
  </si>
  <si>
    <t>Situation dans le ménage pour la population économique</t>
  </si>
  <si>
    <t xml:space="preserve">111 … 300, voir liste 5.
Personnes avec domicile d'appoint </t>
  </si>
  <si>
    <t>Population économique seulement (catégories 1 et 3). Répertoire des codes relatifs à la situation dans le ménage, liste 5.</t>
  </si>
  <si>
    <t>P_RPHHZ</t>
  </si>
  <si>
    <t>Personne de référence pour la population civile</t>
  </si>
  <si>
    <t>01
02
03
-9</t>
  </si>
  <si>
    <t>Personnes de référence dans le ménage privé
Partenaires de la personne de référence
Autres personnes
Personnes avec domicile non civil et ménage collectif</t>
  </si>
  <si>
    <t>Population civile seulement (catégories 1 et 4)</t>
  </si>
  <si>
    <t>P_RPHHW</t>
  </si>
  <si>
    <t>Personne de référence pour la population économique</t>
  </si>
  <si>
    <t>Personnes de référence dans le ménage privé
Partenaires de la personne de référence
Autres personnes
Personnes avec domicile d'appoint et ménage collectif</t>
  </si>
  <si>
    <t>Population économique seulement (catégories 1 et 3)</t>
  </si>
  <si>
    <t>P_EPNRZ</t>
  </si>
  <si>
    <t>Numéro de couple pour la population civile</t>
  </si>
  <si>
    <t>00
01
02
03
04
11
12
13
21
22
31
32
91
92
93
-9</t>
  </si>
  <si>
    <t>Personnes ne vivant pas en couple
1er couple mariée du ménage
2e couple marié du ménage
3e couple marié du ménage
4e couple marié du ménage
1er couple formé d'un enfant de chef de ménage et de son partenaire
2e couple formé d'un enfant de chef de ménage et de son partenaire
3e couple formé d'un enfant de chef de ménage et de son partenaire
1er couple avec un ou les deux parents d'un chef de ménage
2e couple avec un ou les deux parents d'un chef de ménage
1er couple d'un/e frère/soeur d'un chef de ménage et son partenaire
2e couple d'un/e frère/soeur d'un chef de ménage et son partenaire
1er couple en union libre du ménage
2e couple en union libre du ménage
3e couple en union libre du ménage
Personnes avec domicile uniquement économique</t>
  </si>
  <si>
    <t>P_EPNRW</t>
  </si>
  <si>
    <t>Numéro de couple pour la population économique</t>
  </si>
  <si>
    <t>Personnes ne vivant pas en couple
1er couple mariée du ménage
2e couple marié du ménage
3e couple marié du ménage
4e couple marié du ménage
1er couple formé d'un enfant de chef de ménage et de son partenaire
2e couple formé d'un enfant de chef de ménage et de son partenaire
3e couple formé d'un enfant de chef de ménage et de son partenaire
1er couple avec un ou les deux parents d'un chef de ménage
2e couple avec un ou les deux parents d'un chef de ménage
1er couple d'un/e frère/soeur d'un chef de ménage et son partenaire
2e couple d'un/e frère/soeur d'un chef de ménage et son partenaire
1er couple en union libre du ménage
2e couple en union libre du ménage
3e couple en union libre du ménage
Personnes avec domicile uniquement civil</t>
  </si>
  <si>
    <t>Population économique seulement (catégories 1 et 3).</t>
  </si>
  <si>
    <t>P_HHTPZ</t>
  </si>
  <si>
    <t>Type de ménage pour la population civile</t>
  </si>
  <si>
    <t>1000 à 3222
9111 à 9804
-009</t>
  </si>
  <si>
    <t>Type de ménage privé, voir liste 6.
Type de ménage collectif, voir liste 6.
Ménages composés uniquement de personnes avec domicile non civil</t>
  </si>
  <si>
    <t>Cf. Liste 6. Population civile seulement (catégories 1 et 4)</t>
  </si>
  <si>
    <t>P_HHTPW</t>
  </si>
  <si>
    <t>Type de ménage pour la population économique</t>
  </si>
  <si>
    <t xml:space="preserve">Type de ménage privé, voir liste 6.
Type de ménage collectif, voir liste 6.
Ménage composé uniquement de personnes avec domicile d'appoint </t>
  </si>
  <si>
    <t>Cf. Liste 6. Population économique seulement (catégories 1 et 3)</t>
  </si>
  <si>
    <t>P_APERZ</t>
  </si>
  <si>
    <t>Nombre de personnes dans le ménage pour la population civile</t>
  </si>
  <si>
    <t>0001 à 9999
-009</t>
  </si>
  <si>
    <t>Personnes avec domicile civil
Personnes avec domicile non civil</t>
  </si>
  <si>
    <t>P_APERW</t>
  </si>
  <si>
    <t>Nombre de personnes dans le ménage pour la population économique</t>
  </si>
  <si>
    <t>Personnes avec domicile économique
Personnes avec domicile d'appoint</t>
  </si>
  <si>
    <t>P_WKATA</t>
  </si>
  <si>
    <t>Nombre de personnes dans le ménage avec 1 seul domicile</t>
  </si>
  <si>
    <t>Personnes avec un seul domicile
Personnes avec deux domiciles</t>
  </si>
  <si>
    <t>P_REL</t>
  </si>
  <si>
    <t>Religion (Groupe d'appartenance)</t>
  </si>
  <si>
    <t>111 à 600</t>
  </si>
  <si>
    <t xml:space="preserve">111...600
</t>
  </si>
  <si>
    <t>Répertoire des codes relatifs aux religions, cf. Liste 7</t>
  </si>
  <si>
    <t>P_SPRA</t>
  </si>
  <si>
    <t>Code langue principale</t>
  </si>
  <si>
    <t>110 à 440</t>
  </si>
  <si>
    <t>110 … 440</t>
  </si>
  <si>
    <t>Répertoire des codes relatifs aux langues principales, liste 8</t>
  </si>
  <si>
    <t>P_MSPR</t>
  </si>
  <si>
    <t>Langue usuelle à la maison et au travail</t>
  </si>
  <si>
    <t>1111 à 3200
-007</t>
  </si>
  <si>
    <t>1111 … 3200, voir liste 9.
Sans indication</t>
  </si>
  <si>
    <t>Répertoire des codes relatifs à la langue parlée habituellement, liste 9</t>
  </si>
  <si>
    <t>P_HSPR</t>
  </si>
  <si>
    <t>Langue parlée à la maison</t>
  </si>
  <si>
    <t>101 à 453
-07</t>
  </si>
  <si>
    <t>101...453, voir liste 10.
Sans indication</t>
  </si>
  <si>
    <t>Répertoire des codes relatifs à la langue parlée à la maison, respectivement au travail, à l'école, liste 10</t>
  </si>
  <si>
    <t>P_SHSD</t>
  </si>
  <si>
    <t>Langue parlée à la maison: dialecte alémanique</t>
  </si>
  <si>
    <t>01
00
-7</t>
  </si>
  <si>
    <t>Oui
Non
Sans indication</t>
  </si>
  <si>
    <t>P_SHHD</t>
  </si>
  <si>
    <t>Langue parlée à la maison: allemand</t>
  </si>
  <si>
    <t>P_SHPR</t>
  </si>
  <si>
    <t>Langue parlée à la maison: patois romand</t>
  </si>
  <si>
    <t>P_SHFR</t>
  </si>
  <si>
    <t>Langue parlée à la maison: français</t>
  </si>
  <si>
    <t>P_SHTB</t>
  </si>
  <si>
    <t>Langue parlée à la maison: dialecte tessinois ou italo-grison</t>
  </si>
  <si>
    <t>P_SHIT</t>
  </si>
  <si>
    <t>Langue parlée à la maison: italien</t>
  </si>
  <si>
    <t>P_SHRR</t>
  </si>
  <si>
    <t>Langue parlée à la maison: romanche</t>
  </si>
  <si>
    <t>P_SHEN</t>
  </si>
  <si>
    <t>Langue parlée à la maison: anglais</t>
  </si>
  <si>
    <t>P_SHAN</t>
  </si>
  <si>
    <t>Langue parlée à la maison: autre(s) langue(s)</t>
  </si>
  <si>
    <t>P_BSPR</t>
  </si>
  <si>
    <t>Langue parlée au travail ou à l’école</t>
  </si>
  <si>
    <t>101 à  453
-07
-09</t>
  </si>
  <si>
    <t>101 … 453, voir liste 10.
Sans indication
Personnes non actives, sans emploi, pas d'activité bénévole et pas en formation</t>
  </si>
  <si>
    <t>Répertoire des codes relatifs à la langue parlée à la maison, respectivement au travail, à l'école, liste 10. Les bénévoles qui ont indiqué une langue parlée au travail ont un code selon cette liste.</t>
  </si>
  <si>
    <t>P_SBSD</t>
  </si>
  <si>
    <t>Langue parlée au travail ou à l’école: dialecte alémanique</t>
  </si>
  <si>
    <t>Oui
Non
Sans indication
Personnes non actives, sans emploi, pas d'activité bénévole et pas en formation</t>
  </si>
  <si>
    <t>P_SBHD</t>
  </si>
  <si>
    <t>Langue parlée au travail ou à l’école: allemand</t>
  </si>
  <si>
    <t>P_SBPR</t>
  </si>
  <si>
    <t>Langue parlée au travail ou à l’école: patois romand</t>
  </si>
  <si>
    <t>P_SBFR</t>
  </si>
  <si>
    <t>Langue parlée au travail ou à l’école: français</t>
  </si>
  <si>
    <t>P_SBTB</t>
  </si>
  <si>
    <t>Langue parlée au travail ou à l’école: dialecte tessinois ou italo-grison</t>
  </si>
  <si>
    <t>P_SBIT</t>
  </si>
  <si>
    <t>Langue parlée au travail ou à l’école: italien</t>
  </si>
  <si>
    <t>P_SBRR</t>
  </si>
  <si>
    <t>Langue parlée au travail ou à l’école: romanche</t>
  </si>
  <si>
    <t>P_SBEN</t>
  </si>
  <si>
    <t>Langue parlée au travail ou à l’école: anglais</t>
  </si>
  <si>
    <t>P_SBAN</t>
  </si>
  <si>
    <t>Langue parlée au travail ou à l’école: autre(s) langue(s)</t>
  </si>
  <si>
    <t>P_GEGW</t>
  </si>
  <si>
    <t>Formation en cours</t>
  </si>
  <si>
    <t xml:space="preserve">
11
12
21
22
23
31
32
33
34
-7
-8
-9</t>
  </si>
  <si>
    <t>P_HABG</t>
  </si>
  <si>
    <t>Plus haute formation achevée</t>
  </si>
  <si>
    <t>01
11
12
21
22
23
31
32
33
34
-7
-8
-9</t>
  </si>
  <si>
    <t>En cas de réponses multiples, l’ordre de priorité suivant est utilisé pour déterminer le plus haut diplôme obtenu: 34, 33, 32, 31, 23, 22, 21, 12, 11</t>
  </si>
  <si>
    <t>P_UHAB</t>
  </si>
  <si>
    <t>Formation achevée: université ou haute école</t>
  </si>
  <si>
    <t>Oui
Non
Sans indication 
Personnes de moins de 15 ans</t>
  </si>
  <si>
    <t>P_FHAB</t>
  </si>
  <si>
    <t>Formation achevée: haute école spécialisée</t>
  </si>
  <si>
    <t>P_HFAB</t>
  </si>
  <si>
    <t xml:space="preserve">Formation achevée: école professionnelle supérieure </t>
  </si>
  <si>
    <t>P_HBAB</t>
  </si>
  <si>
    <t>Formation achevée: formation professionnelle supérieure</t>
  </si>
  <si>
    <t>P_LSAB</t>
  </si>
  <si>
    <t>Formation achevée: école normale</t>
  </si>
  <si>
    <t>P_MPAB</t>
  </si>
  <si>
    <t>Formation achevée: lycée ou gymnase</t>
  </si>
  <si>
    <t>P_BLAB</t>
  </si>
  <si>
    <t>Formation achevée: apprentissage ou école professionnelle à plein temps</t>
  </si>
  <si>
    <t>P_BSAB</t>
  </si>
  <si>
    <t>Formation achevée: école de culture générale ou préparant à une formation professionnelle</t>
  </si>
  <si>
    <t>P_OSAB</t>
  </si>
  <si>
    <t>Formation achevée: scolarité obligatoire</t>
  </si>
  <si>
    <t>Oui
Non
Sans indication 
Age préscolaire</t>
  </si>
  <si>
    <t>P_KAUS</t>
  </si>
  <si>
    <t>Formation achevée: aucune</t>
  </si>
  <si>
    <t>P_AMS</t>
  </si>
  <si>
    <t>Statut sur le marché de l'emploi</t>
  </si>
  <si>
    <t xml:space="preserve">
11
12
13
14
20
31
32
33
34
35
40</t>
  </si>
  <si>
    <t>P_BGRAD</t>
  </si>
  <si>
    <t>Taux d'occupation</t>
  </si>
  <si>
    <t xml:space="preserve">
11
12
21
22
23
24
25
-7
-8
-9</t>
  </si>
  <si>
    <t>P_KAZEIT</t>
  </si>
  <si>
    <t>Nombre d'heures de travail par semaine</t>
  </si>
  <si>
    <t>01
02
03
04
05
06
07
-7
-8
-9</t>
  </si>
  <si>
    <t>1-5 heures par semaine
6-19 heures par semaine
20-27 heures par semaine
28-35 heures par semaine
36-39 heures par semaine
40-45 heures par semaine
46 heures et plus par semaine
Actifs occupés sans indication des heures 
Personnes non actives ou sans emploi 
Personnes de moins de 15 ans</t>
  </si>
  <si>
    <t>P_ERWS</t>
  </si>
  <si>
    <t>Statut d'activité</t>
  </si>
  <si>
    <t>111 à 400</t>
  </si>
  <si>
    <t>111 … 400</t>
  </si>
  <si>
    <t xml:space="preserve">Répertoire des codes relatifs au statut d’activité. Cf. Liste 12 </t>
  </si>
  <si>
    <t>P_MAMS</t>
  </si>
  <si>
    <t>Statut d'activité et statut sur le marché de l'emploi</t>
  </si>
  <si>
    <t>10 à 50</t>
  </si>
  <si>
    <t>10 … 50, voir liste 11.</t>
  </si>
  <si>
    <t>Répertoire des codes relatifs aux statut d’activité et statut sur le marché de l’emploi. Cf. Liste 11, les réponses multiples sont prises en compte et combinées avec la variable P_AMS</t>
  </si>
  <si>
    <t>P_KAMS</t>
  </si>
  <si>
    <t>Statut sur le marché de l'emploi (agrégé)</t>
  </si>
  <si>
    <t>Personnes actives occupées
Personnes sans emploi, au chômage
Personnes non actives
Personnes de moins de 15 ans</t>
  </si>
  <si>
    <t>P_VOLL</t>
  </si>
  <si>
    <t>Une activité professionnelle à plein temps</t>
  </si>
  <si>
    <t>01
00
-9</t>
  </si>
  <si>
    <t>Oui
Non
Personnes de moins de 15 ans</t>
  </si>
  <si>
    <t>P_TZT1</t>
  </si>
  <si>
    <t>Une activité professionnelle à temps partiel</t>
  </si>
  <si>
    <t>P_TZT2</t>
  </si>
  <si>
    <t>Plusieurs activités professionnelles à temps partiel</t>
  </si>
  <si>
    <t>P_ETOA</t>
  </si>
  <si>
    <t>Actif occupé sans autre indication</t>
  </si>
  <si>
    <t>P_ARLO</t>
  </si>
  <si>
    <t>Au chômage</t>
  </si>
  <si>
    <t>P_STSU</t>
  </si>
  <si>
    <t>Non occupé mais en quête d’un emploi</t>
  </si>
  <si>
    <t>P_KSTZ</t>
  </si>
  <si>
    <t>Non occupé mais futur emploi garanti</t>
  </si>
  <si>
    <t>P_NENSS</t>
  </si>
  <si>
    <t>Ni occupé ni en quête d’un emploi</t>
  </si>
  <si>
    <t>P_IAUS</t>
  </si>
  <si>
    <t>En formation</t>
  </si>
  <si>
    <t>P_RENT</t>
  </si>
  <si>
    <t>Rentier ou retraité</t>
  </si>
  <si>
    <t>P_HAFA</t>
  </si>
  <si>
    <t>Travail familial et domestique</t>
  </si>
  <si>
    <t>Oui
Non 
Sans indication
Personnes de moins de 15 ans</t>
  </si>
  <si>
    <t>P_FRTA</t>
  </si>
  <si>
    <t>Activités bénévoles</t>
  </si>
  <si>
    <t>P_HVOLL</t>
  </si>
  <si>
    <t>Nombre d’heures à plein temps</t>
  </si>
  <si>
    <t>01.0 à 98.0
-7.0
-8.0
-9.0</t>
  </si>
  <si>
    <t>1.0 … 98.0
Sans indication
Aucune activité de ce type 
Personnes de moins de 15 ans</t>
  </si>
  <si>
    <t>98.0 signifie 98 heures ou plus.
Le code -8.0 comprend aussi les non actifs.</t>
  </si>
  <si>
    <t>P_HTZS</t>
  </si>
  <si>
    <t>Nombre d’heures à temps partiel</t>
  </si>
  <si>
    <t>01 à 98
-7
-8
-9</t>
  </si>
  <si>
    <t>1 … 98
Sans indication
Aucune activité de ce type 
Personnes de moins de 15 ans</t>
  </si>
  <si>
    <t>Ce nombre d'heures peut comprendre une ou plusieurs activités à temps partiel. 98 signifie 98 heures ou plus.
Le code -8 comprend aussi les non actifs.</t>
  </si>
  <si>
    <t>P_HAZEIT</t>
  </si>
  <si>
    <t>Nombre total d'heures d'activité</t>
  </si>
  <si>
    <t>001.0 à 120.0
-07.0
-08.0
-09.0</t>
  </si>
  <si>
    <t>1.0 … 120.0
Sans indication
Personnes non actives, sans emploi 
Personnes de moins de 15 ans</t>
  </si>
  <si>
    <t>Ce total d'heures résulte de l'addition de P_HVOLL et P_HTZS</t>
  </si>
  <si>
    <t>P_HIAUS</t>
  </si>
  <si>
    <t>Nombre d’heures en formation</t>
  </si>
  <si>
    <t>98 signifie 98 heures ou plus</t>
  </si>
  <si>
    <t>P_HHAFA</t>
  </si>
  <si>
    <t xml:space="preserve">Nombre d’heures: travail familial et domestique </t>
  </si>
  <si>
    <t>98 signifie 98 heures ou plus.</t>
  </si>
  <si>
    <t>P_HFRTA</t>
  </si>
  <si>
    <t>Nombre d’heures: activités bénévoles</t>
  </si>
  <si>
    <t xml:space="preserve">P_ERBE </t>
  </si>
  <si>
    <t>Profession apprise: plus haut diplôme acquis</t>
  </si>
  <si>
    <t>11101 à 93103
-0006
-0007
-0009</t>
  </si>
  <si>
    <t>11101 … 93103, voir liste 13.
Professions que l'on ne peut pas apprendre
Sans indication
Personnes de moins de 15 ans</t>
  </si>
  <si>
    <t>Répertoire des codes relatifs à la nomenclature des professions, cf. Liste 13.
1e position = division
1e à 2e position = classe
1e à 3e position = groupe
1e à 5e position = genre</t>
  </si>
  <si>
    <t>P_PBER</t>
  </si>
  <si>
    <t xml:space="preserve">Profession exercée </t>
  </si>
  <si>
    <t>11101 à 91107
-0006
-0007
-0008
-0009</t>
  </si>
  <si>
    <t>11101 … 91107, voir liste 13.
Professions que l'on ne peut pas exercer
Sans indication
Personnes non actives, sans emploi
Personnes de moins de 15 ans</t>
  </si>
  <si>
    <t>Répertoire des codes relatifs à la nomenclature des professions, cf. Liste 13</t>
  </si>
  <si>
    <t>P_ISCO</t>
  </si>
  <si>
    <t>Profession exercée selon ISCO</t>
  </si>
  <si>
    <t>0100 à 9330
-006
-007
-008
-009</t>
  </si>
  <si>
    <t>0100 … 9330, voir liste 15.
Professions que l'on ne peut pas exercer
Sans indication
Personnes non actives, sans emploi
Personnes de moins de 15 ans</t>
  </si>
  <si>
    <t>Répertoire des codes des groupes ISCO (International Standard Classification of Occupations), liste 15</t>
  </si>
  <si>
    <t>P_SOPK</t>
  </si>
  <si>
    <t>Catégorie socio-professionnelle</t>
  </si>
  <si>
    <t>10 à 400</t>
  </si>
  <si>
    <t>10…400, voir liste 14.</t>
  </si>
  <si>
    <t>Répertoire des codes relatifs aux catégories socio-professionnelles, liste 14</t>
  </si>
  <si>
    <t>P_BETGR</t>
  </si>
  <si>
    <t>Taille de l’établissement</t>
  </si>
  <si>
    <t xml:space="preserve">00
</t>
  </si>
  <si>
    <t>Données non disponibles</t>
  </si>
  <si>
    <t>P_UNTGR</t>
  </si>
  <si>
    <t>Taille de l’entreprise</t>
  </si>
  <si>
    <t xml:space="preserve">00 </t>
  </si>
  <si>
    <t>P_ANOGA</t>
  </si>
  <si>
    <t>Branche d’activité économique de l’entreprise</t>
  </si>
  <si>
    <t>01100 à 9900C
-0007
-0008
-0009</t>
  </si>
  <si>
    <t>01100 … 9900C, voir liste 16.
Sans indication
Personnes non actives, sans emploi
Personnes de moins de 15 ans</t>
  </si>
  <si>
    <t>Base: système général de la NOGA, répertoire des codes relatifs aux genres d'activités économiques, cf. Liste 16
Niveaux de classification du secteur économique:
1e à 2e position = division
1e à 3e position = groupe
1e à 4e position = classe
1e à 5e position = genre
Secteurs économiques:
secteur 1 = NOGA A-B
secteur 2 = NOGA C-F
secteur 3 = NOGA G-Q</t>
  </si>
  <si>
    <t>P_AREFO</t>
  </si>
  <si>
    <t>Forme juridique de l’entreprise</t>
  </si>
  <si>
    <t>01 à 56
-7
-8
-9</t>
  </si>
  <si>
    <t xml:space="preserve">1 … 56, voir liste 17.
Sans indication
Personnes non actives, sans emploi
Personnes de moins de 15 ans </t>
  </si>
  <si>
    <t>Répertoire des codes relatifs aux formes juridiques de l'entreprise, de l'école, cf. Liste 17</t>
  </si>
  <si>
    <t>P_AGDE</t>
  </si>
  <si>
    <t>Lieu de travail</t>
  </si>
  <si>
    <t>0001 à 6806
8201 à 8619
-007
-008
-009</t>
  </si>
  <si>
    <t xml:space="preserve">Aeugst am Albis … Vendlincourt 
8201 … 8619, voir liste 3b.
Sans indication
Personnes non actives, sans emploi
Personnes de moins de 15 ans </t>
  </si>
  <si>
    <t xml:space="preserve">Selon liste des communes au 5 décembre 2000 et Répertoire des codes relatifs aux pays, cf. Liste 3b.
</t>
  </si>
  <si>
    <t>P_AZKRS</t>
  </si>
  <si>
    <t>Secteur de recensement du lieu de travail</t>
  </si>
  <si>
    <t>P_AGLOC2</t>
  </si>
  <si>
    <t>Code local 2 du lieu de travail</t>
  </si>
  <si>
    <t>P_AGLOC3</t>
  </si>
  <si>
    <t>Code local 3 du lieu de travail</t>
  </si>
  <si>
    <t>P_AGLOC4</t>
  </si>
  <si>
    <t>Code local 4 du lieu de travail</t>
  </si>
  <si>
    <t>P_AORT</t>
  </si>
  <si>
    <t>Lieu de travail par rapport à la commune de domicile</t>
  </si>
  <si>
    <t>01
02
03
04
-7
-8
-9</t>
  </si>
  <si>
    <t>Dans la même commune
Dans une autre commune du même canton
Dans un autre canton
A l'étranger
Sans indication
Personnes non actives, sans emploi
Personnes de moins de 15 ans</t>
  </si>
  <si>
    <t>P_ADIST</t>
  </si>
  <si>
    <t>Distance entre la commune du domicile et le lieu de travail</t>
  </si>
  <si>
    <t>000</t>
  </si>
  <si>
    <t>P_APEND</t>
  </si>
  <si>
    <t>Pendulaire (travail)</t>
  </si>
  <si>
    <t>01
02
03
-7
-8
-9</t>
  </si>
  <si>
    <t>Pendulaires
Travail sur le lieu de domicile
Pas de lieu de travail fixe (en déplacement)
Sans indication
Personnes non actives, sans emploi
Personnes de moins de 15 ans</t>
  </si>
  <si>
    <t>P_AWMIN</t>
  </si>
  <si>
    <t>Temps nécessaire pour se rendre au travail (en minutes)</t>
  </si>
  <si>
    <t>001 à 500
-05
-06
-07
-08
-09</t>
  </si>
  <si>
    <t xml:space="preserve">1 … 500
Actifs occupés sans trajet
Pendularité indéterminée
Pendulaires sans indication
Personnes non actives, sans emploi
Personnes de moins de 15 ans  </t>
  </si>
  <si>
    <t>Pendularité indéterminée = personnes actives occupées sans lieu de travail ou personnes actives occupées dont le lieu de travail est situé dans la commune de domicile  et qui n'ont indiqué ni moyens de transport, ni temps de déplacement.
Code -5 = P_APEND 02 et 03</t>
  </si>
  <si>
    <t>P_AWOFT</t>
  </si>
  <si>
    <t>Fréquence des allers et retours par jour pour se rendre au travail</t>
  </si>
  <si>
    <t>01
02
03
04
05
06
-5
-6
-7
-8
-9</t>
  </si>
  <si>
    <t xml:space="preserve">Aller et retour une fois par jour
Aller et retour deux fois par jour
Aller et retour trois fois par jour
Aller et retour quatre fois par jour
Aller et retour cinq fois par jour
Aller et retour six fois ou plus par jour
Actifs occupés sans trajet 
Pendularité indeterminée
Pendulaires sans indication
Personnes non actives, sans emploi
Personnes de moins de 15 ans
</t>
  </si>
  <si>
    <t>P_AWTAGE</t>
  </si>
  <si>
    <t>Trajet pour se rendre au travail: nombre de jours par semaine</t>
  </si>
  <si>
    <t>01 à 07
-5
-6
-7
-8
-9</t>
  </si>
  <si>
    <t xml:space="preserve">1...7
Actifs occupés sans trajet 
Pendularité indeterminée
Pendulaires sans indication
Personnes non actives, sans emploi
Personnes de moins de 15 ans
</t>
  </si>
  <si>
    <t>P_AVEMI</t>
  </si>
  <si>
    <t>Moyen de transport pour se rendre au travail</t>
  </si>
  <si>
    <t>020 à 900
-05
-06
-07
-08
-09</t>
  </si>
  <si>
    <t>020 … 900, voir liste 18.
Actifs occupés sans trajet 
Pendularité indeterminée
Pendulaires sans indication
Personnes non actives, sans emploi
Personnes de moins de 15 ans</t>
  </si>
  <si>
    <t>Répertoire des moyens de transport, cf. Liste 18. En cas de réponse multiple, le transport public prime sur le transport privé</t>
  </si>
  <si>
    <t>P_AWEGM</t>
  </si>
  <si>
    <t xml:space="preserve">Moyen de transport pour se rendre au travail (agrégé) </t>
  </si>
  <si>
    <t>00</t>
  </si>
  <si>
    <t>P_AVMKE</t>
  </si>
  <si>
    <t>Moyen de transport (travail): aucun - tout le trajet à pied</t>
  </si>
  <si>
    <t>01
00
-5
-6
-7
-8
-9</t>
  </si>
  <si>
    <t>Oui
Non
Actifs occupés sans trajet
Pendularité indéterminée
Pendulaires sans indication de moyen de transport
Personnes non actives, sans emploi
Personnes de moins de 15 ans</t>
  </si>
  <si>
    <t>P_AVELO</t>
  </si>
  <si>
    <t>Moyen de transport (travail): bicyclette</t>
  </si>
  <si>
    <t>P_AMOFA</t>
  </si>
  <si>
    <t>Moyen de transport (travail): vélomoteur</t>
  </si>
  <si>
    <t>P_AMRAD</t>
  </si>
  <si>
    <t>Moyen de transport (travail): motocyclette; scooter</t>
  </si>
  <si>
    <t>P_APKWL</t>
  </si>
  <si>
    <t>Moyen de transport (travail): voiture en tant que conducteur</t>
  </si>
  <si>
    <t>P_APKWM</t>
  </si>
  <si>
    <t>Moyen de transport (travail): voiture en tant que passager</t>
  </si>
  <si>
    <t>P_AWBUS</t>
  </si>
  <si>
    <t>Moyen de transport (travail): car de l’entreprise</t>
  </si>
  <si>
    <t>P_ABAHN</t>
  </si>
  <si>
    <t>Moyen de transport (travail): train</t>
  </si>
  <si>
    <t>P_ATRAM</t>
  </si>
  <si>
    <t xml:space="preserve">Moyen de transport (travail): tram; autobus urbain
(transport public urbain)  </t>
  </si>
  <si>
    <t>P_APOST</t>
  </si>
  <si>
    <t xml:space="preserve">Moyen de transport (travail) : car postal; autocar
(transport public régional) </t>
  </si>
  <si>
    <t>P_AVAND</t>
  </si>
  <si>
    <t>Moyen de transport (travail): autre</t>
  </si>
  <si>
    <t>P_SGDE</t>
  </si>
  <si>
    <t>Emplacement de l’école</t>
  </si>
  <si>
    <t xml:space="preserve">Aeugst am Albis … Vendlincourt 
8201 … 8619, voir liste 3b.
Sans indication
Pas en formation
Age préscolaire </t>
  </si>
  <si>
    <t>Selon Répertoire des communes suisses, état au 5 décembre 2000 et Répertoire des codes relatifs aux pays, cf. Liste 3b.</t>
  </si>
  <si>
    <t>P_SZKRS</t>
  </si>
  <si>
    <t>Secteur de recensement du lieu de formation</t>
  </si>
  <si>
    <t>P_SGLOC2</t>
  </si>
  <si>
    <t>Code local 2 du lieu de formation</t>
  </si>
  <si>
    <t>P_SGLOC3</t>
  </si>
  <si>
    <t>Code local 3 du lieu de formation</t>
  </si>
  <si>
    <t>P_SGLOC4</t>
  </si>
  <si>
    <t>Code local 4 du lieu de formation</t>
  </si>
  <si>
    <t>P_SORT</t>
  </si>
  <si>
    <t>Emplacement de l'école par rapport à la commune de domicile</t>
  </si>
  <si>
    <t>Dans la même commune
Dans une autre commune du même canton
Dans un autre canton
A l'étranger
Sans indication
Pas en formation
Age préscolaire</t>
  </si>
  <si>
    <t>P_SDIST</t>
  </si>
  <si>
    <t>Distance entre la commune de domicile et l'emplacement de l'école</t>
  </si>
  <si>
    <t>P_SPEND</t>
  </si>
  <si>
    <t>Pendulaire (école)</t>
  </si>
  <si>
    <t>01
02
-7
-8
-9</t>
  </si>
  <si>
    <t>Pendulaires
En formation sur le lieu de domicile
Sans indication
Pas en formation
Age préscolaire</t>
  </si>
  <si>
    <t>P_SWMIN</t>
  </si>
  <si>
    <t>Temps nécessaire pour se rendre à l’école (en minutes)</t>
  </si>
  <si>
    <t>1 à 500
-05
-06
-07
-08
-09</t>
  </si>
  <si>
    <t>1… 500
En formation sans trajet
Pendularité indéterminée
Pendulaires sans indication
Pas en formation
Age préscolaire</t>
  </si>
  <si>
    <t>P_SWOFT</t>
  </si>
  <si>
    <t>Fréquence des allers et retours par jour pour se rendre à l’école</t>
  </si>
  <si>
    <t>Aller et retour une fois par jour
Aller et retour deux fois par jour
Aller et retour trois fois par jour
Aller et retour quatre fois par jour
Aller et retour cinq fois par jour
Aller et retour six fois ou plus par jour
En formation sans trajet
Pendularité indéterminée
Pendulaires sans indication
Pas en formation
Age préscolaire</t>
  </si>
  <si>
    <t>P_SWTAGE</t>
  </si>
  <si>
    <t>Trajet pour se rendre à l’école: nombre de jours par semaine</t>
  </si>
  <si>
    <t>1 …7
En formation sans trajet
Pendularité indéterminée
Pendulaire sans indication
Pas en formation
Age préscolaire</t>
  </si>
  <si>
    <t>P_SVEMI</t>
  </si>
  <si>
    <t>Moyen de transport: école</t>
  </si>
  <si>
    <t>020 … 900, voir liste 18.
En formation sans trajet
Pendularité indéterminée
Pendulaires sans indication
Pas en formation
Age préscolaire</t>
  </si>
  <si>
    <t>P_SWEGM</t>
  </si>
  <si>
    <t xml:space="preserve">Moyen de transport pour se rendre à l'école (agrégé) </t>
  </si>
  <si>
    <t>P_SVMKE</t>
  </si>
  <si>
    <t>Moyen de transport (école): aucun; tout le trajet à pied</t>
  </si>
  <si>
    <t>Oui
Non
En formation sans trajet
Pendularité indéterminée
Pendulaires sans indication de moyen de transport
Pas en formation
Age préscolaire</t>
  </si>
  <si>
    <t>P_SVELO</t>
  </si>
  <si>
    <t>Moyen de transport (école): bicyclette</t>
  </si>
  <si>
    <t>P_SMOFA</t>
  </si>
  <si>
    <t>Moyen de transport (école): vélomoteur</t>
  </si>
  <si>
    <t>P_SMRAD</t>
  </si>
  <si>
    <t>Moyen de transport (école): motocyclette; scooter</t>
  </si>
  <si>
    <t>P_SPKWL</t>
  </si>
  <si>
    <t>Moyen de transport (école): voiture en tant que conducteur</t>
  </si>
  <si>
    <t>P_SPKWM</t>
  </si>
  <si>
    <t>Moyen de transport (école): voiture en tant que passager</t>
  </si>
  <si>
    <t>P_SSBUS</t>
  </si>
  <si>
    <t>Moyen de transport (école): car de l'école</t>
  </si>
  <si>
    <t>P_SBAHN</t>
  </si>
  <si>
    <t>Moyen de transport (école): train</t>
  </si>
  <si>
    <t>P_STRAM</t>
  </si>
  <si>
    <t xml:space="preserve">Moyen de transport (école): tram; autobus urbain
(transport public urbain)  </t>
  </si>
  <si>
    <t>P_SPOST</t>
  </si>
  <si>
    <t>Moyen de transport (école): car postal; autocar
(transport public régional)</t>
  </si>
  <si>
    <t>P_SVAND</t>
  </si>
  <si>
    <t>Moyen de transport (école): autre</t>
  </si>
  <si>
    <t>P_SNOGA</t>
  </si>
  <si>
    <t>Branche d’activité économique de l’école</t>
  </si>
  <si>
    <t>011100..9900C, voir liste 16
Sans indication
Pas en formation
Age préscolaire</t>
  </si>
  <si>
    <t>P_SREFO</t>
  </si>
  <si>
    <t>Forme juridique de l’école</t>
  </si>
  <si>
    <t>1 … 56, voir liste 17.
Sans indication
Pas en formation
Age préscolaire</t>
  </si>
  <si>
    <t>H_RART</t>
  </si>
  <si>
    <t>H_KANT</t>
  </si>
  <si>
    <t>01 bis 26</t>
  </si>
  <si>
    <t>H_ZGDE</t>
  </si>
  <si>
    <t>0001 bis 6806</t>
  </si>
  <si>
    <t>H_GEBAEUDE
_ID</t>
  </si>
  <si>
    <t>000000001 bis 
999999999</t>
  </si>
  <si>
    <t>H_HHNR</t>
  </si>
  <si>
    <t>H_WOHNUNG_
NR</t>
  </si>
  <si>
    <t>H_HTYP</t>
  </si>
  <si>
    <t>1  
3 
4</t>
  </si>
  <si>
    <t>H_ZKRS</t>
  </si>
  <si>
    <t>00000001 bis 99999999
-7</t>
  </si>
  <si>
    <t>H_GLOC2</t>
  </si>
  <si>
    <t>H_GLOC3</t>
  </si>
  <si>
    <t>H_GLOC4</t>
  </si>
  <si>
    <t>H_HKAT</t>
  </si>
  <si>
    <t xml:space="preserve">1   
3 
4 
</t>
  </si>
  <si>
    <t>H_HHTPZ</t>
  </si>
  <si>
    <t>1000 bis 3222
9111 bis 9804
-009</t>
  </si>
  <si>
    <t>H_HHTPW</t>
  </si>
  <si>
    <t>H_APERZ</t>
  </si>
  <si>
    <t xml:space="preserve"> -009
0001 bis 9999</t>
  </si>
  <si>
    <t>H_APERW</t>
  </si>
  <si>
    <t>H_WKATA</t>
  </si>
  <si>
    <t>H_AKAL</t>
  </si>
  <si>
    <t xml:space="preserve"> 00 bis 24
-6  </t>
  </si>
  <si>
    <t>H_AKLE</t>
  </si>
  <si>
    <t>H_KL17</t>
  </si>
  <si>
    <t>H_KL18</t>
  </si>
  <si>
    <t>00 bis 09
-6</t>
  </si>
  <si>
    <t>H_KL25</t>
  </si>
  <si>
    <t>H_KL30</t>
  </si>
  <si>
    <t>H_AL00</t>
  </si>
  <si>
    <t>H_AL01</t>
  </si>
  <si>
    <t>H_AL02</t>
  </si>
  <si>
    <t>H_AL03</t>
  </si>
  <si>
    <t>H_AL04</t>
  </si>
  <si>
    <t>H_AL05</t>
  </si>
  <si>
    <t>H_AL06</t>
  </si>
  <si>
    <t>H_AL07</t>
  </si>
  <si>
    <t>H_AL08</t>
  </si>
  <si>
    <t>H_AL09</t>
  </si>
  <si>
    <t>H_AL10</t>
  </si>
  <si>
    <t>H_AL11</t>
  </si>
  <si>
    <t>H_AL12</t>
  </si>
  <si>
    <t>H_AL13</t>
  </si>
  <si>
    <t>H_AL14</t>
  </si>
  <si>
    <t>H_AL15</t>
  </si>
  <si>
    <t>H_AL16</t>
  </si>
  <si>
    <t>H_AL17</t>
  </si>
  <si>
    <t>H_AL18</t>
  </si>
  <si>
    <t>H_AL19</t>
  </si>
  <si>
    <t>H_SO06</t>
  </si>
  <si>
    <t>H_TO06</t>
  </si>
  <si>
    <t>H_SO15</t>
  </si>
  <si>
    <t>H_TO15</t>
  </si>
  <si>
    <t>H_SO16</t>
  </si>
  <si>
    <t>H_TO16</t>
  </si>
  <si>
    <t>H_APAV</t>
  </si>
  <si>
    <t>H_AANV</t>
  </si>
  <si>
    <t>H_AELT</t>
  </si>
  <si>
    <t>H_AGES</t>
  </si>
  <si>
    <t>H_AAVW</t>
  </si>
  <si>
    <t xml:space="preserve">H_AUEP </t>
  </si>
  <si>
    <t>H_AP65</t>
  </si>
  <si>
    <t>0000 bis 9999</t>
  </si>
  <si>
    <t>0 … 9999</t>
  </si>
  <si>
    <t>H_AP80</t>
  </si>
  <si>
    <t>000 bis 999</t>
  </si>
  <si>
    <t>H_EHEP</t>
  </si>
  <si>
    <t>H_AEPE</t>
  </si>
  <si>
    <t>H_AETP</t>
  </si>
  <si>
    <t>H_VZET</t>
  </si>
  <si>
    <t>00 bis 25
-6</t>
  </si>
  <si>
    <t>H_TZET</t>
  </si>
  <si>
    <t>H_ELOP</t>
  </si>
  <si>
    <t>H_IAUP</t>
  </si>
  <si>
    <t>00 bis 24
-6</t>
  </si>
  <si>
    <t>H_RENT</t>
  </si>
  <si>
    <t>H_AP15</t>
  </si>
  <si>
    <t>H_ETKI</t>
  </si>
  <si>
    <t>H_ETKL</t>
  </si>
  <si>
    <t>H_ZPERS</t>
  </si>
  <si>
    <t>H_ZINS</t>
  </si>
  <si>
    <t>H_RGETG</t>
  </si>
  <si>
    <t>01 bis 31
-6</t>
  </si>
  <si>
    <t>H_RGEMT</t>
  </si>
  <si>
    <t>01 bis 12
-6</t>
  </si>
  <si>
    <t>H_RGEJA</t>
  </si>
  <si>
    <t xml:space="preserve">1890 bis 1985
-006 </t>
  </si>
  <si>
    <t>H_RALTJ</t>
  </si>
  <si>
    <t xml:space="preserve">015 bis 110
-06 </t>
  </si>
  <si>
    <t>H_RAKL5</t>
  </si>
  <si>
    <t>15 
20 
25 
…
96
97 
-6</t>
  </si>
  <si>
    <t>H_RVALTJ</t>
  </si>
  <si>
    <t xml:space="preserve">014 bis 110
-06 </t>
  </si>
  <si>
    <t>H_RGESL</t>
  </si>
  <si>
    <t xml:space="preserve">01 
02
-6 </t>
  </si>
  <si>
    <t>H_RZIVL</t>
  </si>
  <si>
    <t xml:space="preserve">01 
02 
03 
04
-6 </t>
  </si>
  <si>
    <t>H_RZIVJ</t>
  </si>
  <si>
    <t xml:space="preserve"> 1895 bis 2000
-006 
-007
-009</t>
  </si>
  <si>
    <t>H_REPNR</t>
  </si>
  <si>
    <t>01 
09
-6</t>
  </si>
  <si>
    <t>H_RHMAT</t>
  </si>
  <si>
    <t>H_RCHJA</t>
  </si>
  <si>
    <t>1890 bis 2000
-006
-007
-008
-009</t>
  </si>
  <si>
    <t>H_RZNAT</t>
  </si>
  <si>
    <t>8201 bis 8619
-006
-007
-009</t>
  </si>
  <si>
    <t>H_RNATI</t>
  </si>
  <si>
    <t>8201 bis 8619
8998
8100
-006</t>
  </si>
  <si>
    <t>H_RAUSW</t>
  </si>
  <si>
    <t>01 
02 
03 
04 
06  
07 
08 
09
-6 
-9</t>
  </si>
  <si>
    <t>H_RZKIND</t>
  </si>
  <si>
    <t>01 bis 20
-6
-7
-8</t>
  </si>
  <si>
    <t>H_RREL</t>
  </si>
  <si>
    <t>111 bis 600
-06</t>
  </si>
  <si>
    <t>H_RSPRA</t>
  </si>
  <si>
    <t xml:space="preserve">110 bis 440
-06 </t>
  </si>
  <si>
    <t>H_RGEGW</t>
  </si>
  <si>
    <t xml:space="preserve">
11
12
21
22
23
31
32
33
34
-6
-7
-8</t>
  </si>
  <si>
    <t>H_RHABG</t>
  </si>
  <si>
    <t>01
11
12
21
22
23
31
32
33
34
-6
-7</t>
  </si>
  <si>
    <t>H_RAMS</t>
  </si>
  <si>
    <t xml:space="preserve">
11
12
13
14
20
31
32
33
34
35
-6</t>
  </si>
  <si>
    <t>H_RBGRAD</t>
  </si>
  <si>
    <t xml:space="preserve">
11
12
21
22
23
24
25
-6
-7
-8</t>
  </si>
  <si>
    <t>H_RKAZEIT</t>
  </si>
  <si>
    <t>01
02
03
04
05
06
07
-6
-7
-8</t>
  </si>
  <si>
    <t>H_RERWS</t>
  </si>
  <si>
    <t>111 bis 305
-06</t>
  </si>
  <si>
    <t>H_RMAMS</t>
  </si>
  <si>
    <t>10 bis 40
-6</t>
  </si>
  <si>
    <t>H_RSOPK</t>
  </si>
  <si>
    <t>10 bis 305
-06</t>
  </si>
  <si>
    <t>H_RPBER</t>
  </si>
  <si>
    <t>11101 bis 
91107
-0005
-0006
-0007
-0008</t>
  </si>
  <si>
    <t>H_RANOGA</t>
  </si>
  <si>
    <t>01100 bis 
9900C
-6
-7
-8</t>
  </si>
  <si>
    <t>H_RAREFO</t>
  </si>
  <si>
    <t>01 bis 56
-6
-7
-8</t>
  </si>
  <si>
    <t>H_RSNOGA</t>
  </si>
  <si>
    <t>H_RSREFO</t>
  </si>
  <si>
    <t>H_RHVOLL</t>
  </si>
  <si>
    <t>01.0 bis 98.0
-6.0
-7.0
-8.0</t>
  </si>
  <si>
    <t>H_RHTZS</t>
  </si>
  <si>
    <t>01 bis 98
-6
-7
-8</t>
  </si>
  <si>
    <t>H_RHAZEIT</t>
  </si>
  <si>
    <t>001.0 bis 120.0
-06.0
-07.0
-08.0</t>
  </si>
  <si>
    <t>H_RHIAUS</t>
  </si>
  <si>
    <t>H_RHAFA</t>
  </si>
  <si>
    <t>01
00
-6
-7</t>
  </si>
  <si>
    <t>P_RFRTA</t>
  </si>
  <si>
    <t>P_RHHAFA</t>
  </si>
  <si>
    <t>P_RHFRTA</t>
  </si>
  <si>
    <t>H_ZGETG</t>
  </si>
  <si>
    <t>01 bis 31 
-6</t>
  </si>
  <si>
    <t>H_ZGEMT</t>
  </si>
  <si>
    <t xml:space="preserve">01 bis 12
-6 </t>
  </si>
  <si>
    <t>H_ZGEJA</t>
  </si>
  <si>
    <t>H_ZALTJ</t>
  </si>
  <si>
    <t>015 bis 110 
-06</t>
  </si>
  <si>
    <t>H_ZAKL5</t>
  </si>
  <si>
    <t xml:space="preserve">15 
20 
25 
…
96
97
-6 </t>
  </si>
  <si>
    <t>H_ZVALTJ</t>
  </si>
  <si>
    <t>014 bis 110 
-06</t>
  </si>
  <si>
    <t>H_ZGESL</t>
  </si>
  <si>
    <t>H_ZZIVL</t>
  </si>
  <si>
    <t>H_ZZIVJ</t>
  </si>
  <si>
    <t xml:space="preserve"> 1895 bis 2000
-006
-007
-009</t>
  </si>
  <si>
    <t>H_ZEPNR</t>
  </si>
  <si>
    <t>H_ZHMAT</t>
  </si>
  <si>
    <t>H_ZCHJA</t>
  </si>
  <si>
    <t>H_ZZNAT</t>
  </si>
  <si>
    <t>H_ZNATI</t>
  </si>
  <si>
    <t>H_ZAUSW</t>
  </si>
  <si>
    <t>H_ZZKIND</t>
  </si>
  <si>
    <t>H_ZREL</t>
  </si>
  <si>
    <t>H_ZSPRA</t>
  </si>
  <si>
    <t>H_ZGEGW</t>
  </si>
  <si>
    <t>H_ZHABG</t>
  </si>
  <si>
    <t>H_ZAMS</t>
  </si>
  <si>
    <t xml:space="preserve">
11
12
13
14
20
31
32
33
34
35
-6
</t>
  </si>
  <si>
    <t>H_ZBGRAD</t>
  </si>
  <si>
    <t>H_ZKAZEIT</t>
  </si>
  <si>
    <t>H_ZERWS</t>
  </si>
  <si>
    <t>H_ZMAMS</t>
  </si>
  <si>
    <t xml:space="preserve">10 bis 40
-6 
</t>
  </si>
  <si>
    <t>H_ZSOPK</t>
  </si>
  <si>
    <t xml:space="preserve">10 bis 305
-06
</t>
  </si>
  <si>
    <t>H_ZPBER</t>
  </si>
  <si>
    <t>H_ZANOGA</t>
  </si>
  <si>
    <t>H_ZAREFO</t>
  </si>
  <si>
    <t>H_ZSNOGA</t>
  </si>
  <si>
    <t>H_ZSREFO</t>
  </si>
  <si>
    <t>H_ZHVOLL</t>
  </si>
  <si>
    <t>H_ZHTZS</t>
  </si>
  <si>
    <t>H_ZHAZEIT</t>
  </si>
  <si>
    <t>H_ZHIAUS</t>
  </si>
  <si>
    <t>H_ZHAFA</t>
  </si>
  <si>
    <t>H_ZFRTA</t>
  </si>
  <si>
    <t>H_ZHHAFA</t>
  </si>
  <si>
    <t>H_ZHFRTA</t>
  </si>
  <si>
    <t>H_GART</t>
  </si>
  <si>
    <t>H_BAUP</t>
  </si>
  <si>
    <t>H_RENO</t>
  </si>
  <si>
    <t>H_RENP</t>
  </si>
  <si>
    <t>H_ANZG</t>
  </si>
  <si>
    <t>H_EIGW</t>
  </si>
  <si>
    <t>H_ETYP</t>
  </si>
  <si>
    <t>H_HEIZ</t>
  </si>
  <si>
    <t>H_ENH1</t>
  </si>
  <si>
    <t>H_ENH2</t>
  </si>
  <si>
    <t>H_WWAS</t>
  </si>
  <si>
    <t>H_ENSO</t>
  </si>
  <si>
    <t>H_ENWI</t>
  </si>
  <si>
    <t xml:space="preserve">H_KATW  </t>
  </si>
  <si>
    <t>H_KATZ</t>
  </si>
  <si>
    <t>H_ANZW</t>
  </si>
  <si>
    <t>0001
   -   
9999</t>
  </si>
  <si>
    <t>H_AZWET</t>
  </si>
  <si>
    <t>H_AZWOT</t>
  </si>
  <si>
    <t>H_ABWEW</t>
  </si>
  <si>
    <t>H_ABWEZ</t>
  </si>
  <si>
    <t>H_ABWOW</t>
  </si>
  <si>
    <t>H_ABWOZ</t>
  </si>
  <si>
    <t>H_AZWEW</t>
  </si>
  <si>
    <t>H_AZWEZ</t>
  </si>
  <si>
    <t>H_AZWW</t>
  </si>
  <si>
    <t>H_AZWZ</t>
  </si>
  <si>
    <t>H_ANBE</t>
  </si>
  <si>
    <t>H_APTO</t>
  </si>
  <si>
    <t>H_APWG</t>
  </si>
  <si>
    <t>H_APZR</t>
  </si>
  <si>
    <t>H_APWEW</t>
  </si>
  <si>
    <t>H_APWHW</t>
  </si>
  <si>
    <t>H_APWEZ</t>
  </si>
  <si>
    <t>H_APWHZ</t>
  </si>
  <si>
    <t xml:space="preserve">
H_APKHHW</t>
  </si>
  <si>
    <t>H_APKHHZ</t>
  </si>
  <si>
    <t>H_APSHHW</t>
  </si>
  <si>
    <t>H_APSHHZ</t>
  </si>
  <si>
    <t>H_ETAG</t>
  </si>
  <si>
    <t>H_ZIMM</t>
  </si>
  <si>
    <t>H_FLAE</t>
  </si>
  <si>
    <t>H_KCHE</t>
  </si>
  <si>
    <t>H_BTYP</t>
  </si>
  <si>
    <t>H_MIET</t>
  </si>
  <si>
    <t>H_ZUZI</t>
  </si>
  <si>
    <t>H_BARW</t>
  </si>
  <si>
    <t>H_BARZ</t>
  </si>
  <si>
    <t>H_WAPTO</t>
  </si>
  <si>
    <t>H_APWS</t>
  </si>
  <si>
    <t>H_WAPZR</t>
  </si>
  <si>
    <t>H_BEWO</t>
  </si>
  <si>
    <t>H_BEWW</t>
  </si>
  <si>
    <t>H_FLBT</t>
  </si>
  <si>
    <t>H_FLBW</t>
  </si>
  <si>
    <t>H_MIQM</t>
  </si>
  <si>
    <t>H_WTYP</t>
  </si>
  <si>
    <t>Signification</t>
  </si>
  <si>
    <t>P-KANT</t>
  </si>
  <si>
    <t>Numéro du canton</t>
  </si>
  <si>
    <t>01-26
0</t>
  </si>
  <si>
    <t>P-ZGDE</t>
  </si>
  <si>
    <t>Numéro de la commune</t>
  </si>
  <si>
    <t>0001 - 6806
0</t>
  </si>
  <si>
    <t>P-ZKRS</t>
  </si>
  <si>
    <t>Numéro du secteur de recensement</t>
  </si>
  <si>
    <t>&gt; 00000000
0</t>
  </si>
  <si>
    <t xml:space="preserve">Attribués par les communes. La numérotation du secteur de recensement est attribuée par le recenseur ou par la commune
En partie numérotation systématique pour la constitution des codes quartiers
</t>
  </si>
  <si>
    <t>P-HHNR</t>
  </si>
  <si>
    <t>Numéro du ménage</t>
  </si>
  <si>
    <t>&gt; 000
0</t>
  </si>
  <si>
    <t>Numéro d'après la Liste de contrôle. Toutes les personnes d'un même ménage possèdent le même numéro.</t>
  </si>
  <si>
    <t>P-GBNR</t>
  </si>
  <si>
    <t>Numéro d'ordre du bâtiment</t>
  </si>
  <si>
    <t>P-WGNR</t>
  </si>
  <si>
    <t>Numéro d'ordre du logement</t>
  </si>
  <si>
    <t>&gt; 0000
0</t>
  </si>
  <si>
    <t>P-LAUF</t>
  </si>
  <si>
    <t>Numéro du BI</t>
  </si>
  <si>
    <t>&gt; 99999999
0</t>
  </si>
  <si>
    <t xml:space="preserve">Un numéro unique à 9 positions du Bulletin Individuel </t>
  </si>
  <si>
    <t>P-ORT1</t>
  </si>
  <si>
    <t>Code quartier 1</t>
  </si>
  <si>
    <t>&gt; 00
0</t>
  </si>
  <si>
    <t>Quartiers définis dans certaines villes. Attribution d'un secteur entier</t>
  </si>
  <si>
    <t>P-ORT2</t>
  </si>
  <si>
    <t>Code quartier 2</t>
  </si>
  <si>
    <t>P-ORT3</t>
  </si>
  <si>
    <t>Code quartier 3</t>
  </si>
  <si>
    <t>P-XACH</t>
  </si>
  <si>
    <t>Coordonnées géographiques du bâtiment</t>
  </si>
  <si>
    <t>&gt; 000000
0</t>
  </si>
  <si>
    <t>P-YACH</t>
  </si>
  <si>
    <t>P-SIED</t>
  </si>
  <si>
    <t>Numéro du quartier</t>
  </si>
  <si>
    <t>&gt; 0
0</t>
  </si>
  <si>
    <t>P-WKAT</t>
  </si>
  <si>
    <t>1
2
3
0</t>
  </si>
  <si>
    <t>P-GEM2</t>
  </si>
  <si>
    <t>Second domicile</t>
  </si>
  <si>
    <t>0001-6806
8999
8999
9999
0</t>
  </si>
  <si>
    <t xml:space="preserve">Si WKAT = 1 (économique = civil), alors GEM2 = ZGDE.
Si WKAT = 2, alors second domicile = domicile économique
Si WKAT = 3, alors second domicile = domicile légal
NB: Catégorie de domicile = 2, 3 avec deux domiciles dans la même commune est possible.
Cependant, dans le programme standard de tableaux du RP90, ces cas sont inscrits en tant que: personne avec un seul domicile
</t>
  </si>
  <si>
    <t>P-GETG</t>
  </si>
  <si>
    <t>Jour de naissance</t>
  </si>
  <si>
    <t>01 - 31
01 - 30
01 - 28/29
0</t>
  </si>
  <si>
    <t>P-GEMT</t>
  </si>
  <si>
    <t>Mois de naissance</t>
  </si>
  <si>
    <t>01 - 12
0</t>
  </si>
  <si>
    <t>Janvier - Décembre
n'existe pas</t>
  </si>
  <si>
    <t>P-GEJA</t>
  </si>
  <si>
    <t>Année de naissance</t>
  </si>
  <si>
    <t>1880 - 1990
0</t>
  </si>
  <si>
    <t>P-ALTJ</t>
  </si>
  <si>
    <t>Âge</t>
  </si>
  <si>
    <t>000 - 109</t>
  </si>
  <si>
    <t>1990 moins l'année de naissance</t>
  </si>
  <si>
    <t>P-AKL5</t>
  </si>
  <si>
    <t>Groupes d'âges quinquennaux</t>
  </si>
  <si>
    <t>0
01
05
10
…
95</t>
  </si>
  <si>
    <t>0-1
1-4
5-9
10-14
…
95-109</t>
  </si>
  <si>
    <t>P-AGRP</t>
  </si>
  <si>
    <t>Structure d'âge (-groupes)</t>
  </si>
  <si>
    <t>00
08
16
20
25
45
65
80</t>
  </si>
  <si>
    <t>0-6
7-15
16-19
20-24
25-44
45-64
65-79
80+</t>
  </si>
  <si>
    <t>P-VALTJ</t>
  </si>
  <si>
    <t>Âge en années révolues</t>
  </si>
  <si>
    <t>La date de naissance exacte en relation avec le jour du Recensement de la population est déterminante: pour chaque âge: 4 déc. d'une année jusqu'au 3 déc. de l'année suivante</t>
  </si>
  <si>
    <t>P-GORT</t>
  </si>
  <si>
    <t xml:space="preserve">Domicile au moment de la naissance </t>
  </si>
  <si>
    <t>0001 - 6806
8201 - 8703
8999
0</t>
  </si>
  <si>
    <t>P-GORTHD</t>
  </si>
  <si>
    <t>Domicile au moment de la naissance /HOTDECK</t>
  </si>
  <si>
    <t xml:space="preserve">0001 - 6806
8201 - 8703
8999
0
</t>
  </si>
  <si>
    <t>P-GESL</t>
  </si>
  <si>
    <t>1
2
0</t>
  </si>
  <si>
    <t>P-ZIVL</t>
  </si>
  <si>
    <t>1
2
3
4
0</t>
  </si>
  <si>
    <t>P-HMAT</t>
  </si>
  <si>
    <t>Origine</t>
  </si>
  <si>
    <t>P-NATI</t>
  </si>
  <si>
    <t>Pays d'origine</t>
  </si>
  <si>
    <t>8201 - 8616
8999
0</t>
  </si>
  <si>
    <t>P-NATUNO</t>
  </si>
  <si>
    <t>Groupes de pays d'après l'UNO</t>
  </si>
  <si>
    <t>00 - 81
91
0</t>
  </si>
  <si>
    <t>P-AUSW</t>
  </si>
  <si>
    <t>Type d'autorisation de séjour</t>
  </si>
  <si>
    <t>1
2
3
4
5
6
7
0</t>
  </si>
  <si>
    <t>Permis d'établissement (C)
Permis de séjour annuel (B)
Permis de saisonnier (A)
Requérant d'asile
Autorisation du DFAE
Autorisation de séjour de courte durée / autre statut
Sans indication
Suisse</t>
  </si>
  <si>
    <t>P-WO5M</t>
  </si>
  <si>
    <t>Domicile il y a 5 ans (en 1985): dans la même commune</t>
  </si>
  <si>
    <t>P-WOR5</t>
  </si>
  <si>
    <t>Domicile il y a 5 ans (en 1985): commune, pays</t>
  </si>
  <si>
    <t>P-WOR5HD</t>
  </si>
  <si>
    <t>Domicile il y a 5 ans (en 1985): commune, pays / HOTDECK</t>
  </si>
  <si>
    <t>Complété automatiquement dans le cas où aucune donnée ne figurait sous GORT.
Pas prévu pour les évaluations habituelles (y compris le Programme standard de tableaux) mais uniquement pour des analyses de migration spéciales dans le cadre d' ESPOP</t>
  </si>
  <si>
    <t>P-STHH</t>
  </si>
  <si>
    <t>Situation dans le ménage</t>
  </si>
  <si>
    <t xml:space="preserve">1
2
3
11
12
21
22
23
24
31
0 </t>
  </si>
  <si>
    <t>Toutes les catégories de domicile (WKAT = 1, 2, 3)</t>
  </si>
  <si>
    <t>P-STHHW</t>
  </si>
  <si>
    <t>Situation dans le ménage selon le domicile économique )WKAT=1,3)</t>
  </si>
  <si>
    <t>00 - 31
0</t>
  </si>
  <si>
    <t>Les personnes avec WKAT =2 ne sont pas comprises dans le contexte du ménage au domicile économique</t>
  </si>
  <si>
    <t>P-EPNR</t>
  </si>
  <si>
    <t>Numéro du couple (marié)</t>
  </si>
  <si>
    <t>1
11, 12, 13
21, 22
31, 32, 33
41, 42, ...49
51, 52,...59
61, 62,...89
99
0</t>
  </si>
  <si>
    <t>Lorsque le couple marié est chef de ménage
Fils/fille marié(e) avec partenaire
(Beaux-)parents
Frère/soeur marié(e) avec partenaire
Autre couple marié parent avec le chef de ménage
Couple marié sans parenté avec le chef de ménage
Couple marié dans un ménage collectif
Lorsque le couple non marié est chef de ménage
Les personnes ne formant pas un couple</t>
  </si>
  <si>
    <t>P-EPNRW</t>
  </si>
  <si>
    <t>Numéro du couple (marié) selon le domicile économique (WKAT=1,3)</t>
  </si>
  <si>
    <t>00 - 99
0</t>
  </si>
  <si>
    <t>P-RPHH</t>
  </si>
  <si>
    <t>Personne de référence</t>
  </si>
  <si>
    <t>P-RPHHW</t>
  </si>
  <si>
    <t>Personne de référence selon le domicile économique (WKAT=1,3)</t>
  </si>
  <si>
    <t>Les personnes avec WKAT = 2 ne sont pas comprises dans le contexte du ménage au domicile économique</t>
  </si>
  <si>
    <t>P-HHTP</t>
  </si>
  <si>
    <t>Type de ménage</t>
  </si>
  <si>
    <t>1000 - 3200
9110 - 9800
0</t>
  </si>
  <si>
    <t>Comprenant toutes les personnes (WKAT = 1,2,3)</t>
  </si>
  <si>
    <t>P-HHTPW</t>
  </si>
  <si>
    <t>Type de ménage selon le domicile économique (WKAT=1,3)</t>
  </si>
  <si>
    <t>Les personnes avec WKAT = 2 ne sont pas comprises</t>
  </si>
  <si>
    <t>P-APER</t>
  </si>
  <si>
    <t>Nombre de personnes dans le ménage</t>
  </si>
  <si>
    <t>001 - 999
0</t>
  </si>
  <si>
    <t>Toutes les personnes appartenant au ménage (WKAT = 1,2,3)
Dans les ménages privés, max. 25 personnes</t>
  </si>
  <si>
    <t>P-APERW</t>
  </si>
  <si>
    <t>Nombre de personnes dans le ménage selon le domicile économique (WKAT=1,3)</t>
  </si>
  <si>
    <t>Nombre d'enregistrement-personnes avec WKAT = 1,3
Dans les ménages privés, max 25 personnes</t>
  </si>
  <si>
    <t>P-WKATA</t>
  </si>
  <si>
    <t>Nombre de personnes dans le ménage avec WKAT = 1</t>
  </si>
  <si>
    <t>000 - 999
0</t>
  </si>
  <si>
    <t>Nombre d'enregistrement-personnes avec WKAT = 1
Dans les ménages privés, max 25 personnes</t>
  </si>
  <si>
    <t>P-KONF</t>
  </si>
  <si>
    <t>Religion</t>
  </si>
  <si>
    <t>000 - 500
0</t>
  </si>
  <si>
    <t>P-SPRA</t>
  </si>
  <si>
    <t>100 - 330
0</t>
  </si>
  <si>
    <t>P-HSPR</t>
  </si>
  <si>
    <t>000 - 353
0</t>
  </si>
  <si>
    <t>P-SHSD</t>
  </si>
  <si>
    <t>Langue parlée à la maison: suisse allemand</t>
  </si>
  <si>
    <t>P-SHHD</t>
  </si>
  <si>
    <t>2
0</t>
  </si>
  <si>
    <t>P-SHPR</t>
  </si>
  <si>
    <t>3
0</t>
  </si>
  <si>
    <t>P-SHFR</t>
  </si>
  <si>
    <t>4
0</t>
  </si>
  <si>
    <t>P-SHTB</t>
  </si>
  <si>
    <t>5
0</t>
  </si>
  <si>
    <t>P-SHIT</t>
  </si>
  <si>
    <t>6
0</t>
  </si>
  <si>
    <t>P-SHRR</t>
  </si>
  <si>
    <t>7
0</t>
  </si>
  <si>
    <t>P-SHEN</t>
  </si>
  <si>
    <t>8
0</t>
  </si>
  <si>
    <t>P-SHAN</t>
  </si>
  <si>
    <t>Langue parlée à la maison: autres</t>
  </si>
  <si>
    <t>9
0</t>
  </si>
  <si>
    <t>P-BSPR</t>
  </si>
  <si>
    <t>Langue parlée au travail, à l'école</t>
  </si>
  <si>
    <t>P-SBSD</t>
  </si>
  <si>
    <t>Langue parlée au travail, à l'école: suisse allemand</t>
  </si>
  <si>
    <t>P-SBHD</t>
  </si>
  <si>
    <t>Langue parlée au travail, à l'école: allemand</t>
  </si>
  <si>
    <t>P-SBPR</t>
  </si>
  <si>
    <t>Langue parlée au travail, à l'école: patois romand</t>
  </si>
  <si>
    <t>P-SBFR</t>
  </si>
  <si>
    <t>Langue parlée au travail, à l'école: français</t>
  </si>
  <si>
    <t>P-SBTB</t>
  </si>
  <si>
    <t xml:space="preserve">Langue parlée au travail, à l'école: dialecte tessinois ou italo-grison </t>
  </si>
  <si>
    <t>P-SBIT</t>
  </si>
  <si>
    <t>Langue parlée au travail, à l'école: italien</t>
  </si>
  <si>
    <t>P-SBRR</t>
  </si>
  <si>
    <t>Langue parlée au travail, à l'école: romanche</t>
  </si>
  <si>
    <t>P-SBEN</t>
  </si>
  <si>
    <t>Langue parlée au travail, à l'école: anglais</t>
  </si>
  <si>
    <t>P-SBAN</t>
  </si>
  <si>
    <t>Langue parlée au travail, à l'école: autres</t>
  </si>
  <si>
    <t>P-ESCH</t>
  </si>
  <si>
    <t>Code professionnel (Situation professionelle)</t>
  </si>
  <si>
    <t>1110 - 2322
0</t>
  </si>
  <si>
    <t>Ordonnée d'après les caractéristiques les plus importantes selon leur degré de priorité</t>
  </si>
  <si>
    <t>P-WSTD</t>
  </si>
  <si>
    <t>Durée de travail hebdomadaire</t>
  </si>
  <si>
    <t>01 - 98
0</t>
  </si>
  <si>
    <t>Seulement pour les personnes actives occupées</t>
  </si>
  <si>
    <t>P-HARB</t>
  </si>
  <si>
    <t>Travaux ménagers dans son propre travaux</t>
  </si>
  <si>
    <t>P-IAUS</t>
  </si>
  <si>
    <t>P-RENT</t>
  </si>
  <si>
    <t>Rentier/ère, retraité/e</t>
  </si>
  <si>
    <t>P-BESIT</t>
  </si>
  <si>
    <t>Occupation (code combinaison)</t>
  </si>
  <si>
    <t>010 - 530
0</t>
  </si>
  <si>
    <t>P-GEGW</t>
  </si>
  <si>
    <t>Niveau de formation en cours</t>
  </si>
  <si>
    <t>2
3
4
5
6
7
8
0</t>
  </si>
  <si>
    <t>P-HABG</t>
  </si>
  <si>
    <t>Niveau le plus élevé de formation achevée</t>
  </si>
  <si>
    <t>1
2
3
4
5
6
7
8
0</t>
  </si>
  <si>
    <t>Dans le cas de réponses multiples, le niveau le plus élevé de formation achevée est prioritaire, comme suit: 7 / 6 / 5 / 4 / 3 / 8 / 2</t>
  </si>
  <si>
    <t>P-UHAB</t>
  </si>
  <si>
    <t>Formation achevée: université, haute école</t>
  </si>
  <si>
    <t>P-HFAB</t>
  </si>
  <si>
    <t>Formation achevée: école professionnelle supérieure</t>
  </si>
  <si>
    <t>P-HBAB</t>
  </si>
  <si>
    <t>P-MPAB</t>
  </si>
  <si>
    <t>Formation achevée: école préparant à la maturité</t>
  </si>
  <si>
    <t>P-BLAB</t>
  </si>
  <si>
    <t>Formation achevée: formation professionnelle</t>
  </si>
  <si>
    <t>P-AAAB</t>
  </si>
  <si>
    <t>Formation achevée: autre formation</t>
  </si>
  <si>
    <t>P-BCO1</t>
  </si>
  <si>
    <t>Diplôme le plus élevé</t>
  </si>
  <si>
    <t>11101NNNNNNNN - 51106NNNNNNNN
0</t>
  </si>
  <si>
    <t>Nomenclature des professions (Liste 12).
Sans indication</t>
  </si>
  <si>
    <t>P-BCO2</t>
  </si>
  <si>
    <t>Second diplôme le plus élevé</t>
  </si>
  <si>
    <t>P-BCO3</t>
  </si>
  <si>
    <t>Troisième diplôme le plus élevé</t>
  </si>
  <si>
    <t>P-BCO4</t>
  </si>
  <si>
    <t>Quatrième diplôme le plus élevé</t>
  </si>
  <si>
    <t>P-SOPK</t>
  </si>
  <si>
    <t>001 - 205
0</t>
  </si>
  <si>
    <t>P-BSKO</t>
  </si>
  <si>
    <t>Situation dans la profession</t>
  </si>
  <si>
    <t>1
2
3
4
5
6
0</t>
  </si>
  <si>
    <t>P-PBER</t>
  </si>
  <si>
    <t>Activité professionnelle</t>
  </si>
  <si>
    <t>Activité professionnelle actuelle ou dernière profession exercée.
1. Position = Division (3+4 réunies)
1./2. Position = Classe
1.-3. Position = Groupe
1.-5. Position = Genre
1.-10. Position = Description du diplôme conformément au registre des professions
11. Position = Code de langue pour le texte de la profession (1, 2, 3, 4 pour al, fr, it, ro)
12. Position = 3 - 8: relatif aux niveaux de formation BLAB - AAAB ou 0 (zéro) lorsque exclusivement une activité professionnelle
13. Position = 1: Code valable pour la formation et activité professionnelle
= 2: Code valable pour la formation
= 3: Code valable pour l'activité professionnelle</t>
  </si>
  <si>
    <t>P-ISCO</t>
  </si>
  <si>
    <t>Activité professionnelle d'après ISCO</t>
  </si>
  <si>
    <t>0000 - 9330
0</t>
  </si>
  <si>
    <t>PBER (à 5 positions) a été recodé selon la Classification Standard Internationale des Professions (ISCO) de l'ONU</t>
  </si>
  <si>
    <t>P-WART</t>
  </si>
  <si>
    <t>Branche d'activité économique de l'entreprise, de l'école</t>
  </si>
  <si>
    <t>0000 - 9320
9900
0</t>
  </si>
  <si>
    <t>P-NACE</t>
  </si>
  <si>
    <t>Branche d'activité économique d'après NACE</t>
  </si>
  <si>
    <t>WART a été recodé selon la "Nomenclature des Activités de la Communauté Européenne" (NACE)
NACE=98 (inconnu) manque, bien qu'il ait été originalement prévu. Recoder NACE=98 tous les cas où WART=9900. (Cette correction concerne tous les fichiers reçus avant le 1.1.1994 )</t>
  </si>
  <si>
    <t>P-REFO</t>
  </si>
  <si>
    <t>Forme juridique de l'entreprise</t>
  </si>
  <si>
    <t>00 - 33
34
0</t>
  </si>
  <si>
    <t>P-AGDE</t>
  </si>
  <si>
    <t>Lieu de travail, emplacement de l'école</t>
  </si>
  <si>
    <t>0001 - 6806
9999
8207,8212,
8218, 8222,
8229
8201 - 8703
8999
0</t>
  </si>
  <si>
    <t>P-AXKO</t>
  </si>
  <si>
    <t>Coordonnées du lieu de travail, de l'emplacement de l'école</t>
  </si>
  <si>
    <t>P-AYKO</t>
  </si>
  <si>
    <t>P-ZKRS AGDE</t>
  </si>
  <si>
    <t>Code spécial du lieu de travail, de l'emplacement de l'école</t>
  </si>
  <si>
    <t>P-WMIN</t>
  </si>
  <si>
    <t>Durée du trajet du domicile au lieu de travail ou à l'école</t>
  </si>
  <si>
    <t>P-WOFT</t>
  </si>
  <si>
    <t>Fréquence des trajets quotidiens aller-retour du domicile au lieu de travail ou à l'école</t>
  </si>
  <si>
    <t>P-VEMI</t>
  </si>
  <si>
    <t>Moyen de transport:</t>
  </si>
  <si>
    <t>00 - 90
0</t>
  </si>
  <si>
    <t>Dans le cas de réponses multiples, les indications relatives aux moyens de transports publics ont la priorité par rapport à celles se référant aux transports privés</t>
  </si>
  <si>
    <t>P-VMKE</t>
  </si>
  <si>
    <t>Moyen de transport: aucun, à pied</t>
  </si>
  <si>
    <t>P-VELO</t>
  </si>
  <si>
    <t>Moyen de transport: bicyclette</t>
  </si>
  <si>
    <t>P-MOFA</t>
  </si>
  <si>
    <t>Moyen de transport: cyclomoteur</t>
  </si>
  <si>
    <t>P-MRAD</t>
  </si>
  <si>
    <t>Moyen de transport: motocyclette, scooter</t>
  </si>
  <si>
    <t>P-PKWL</t>
  </si>
  <si>
    <t>Moyen de transport: automobile en tant que conducteur</t>
  </si>
  <si>
    <t>P-PKWM</t>
  </si>
  <si>
    <t>Moyen de transport: automobile en tant que passager</t>
  </si>
  <si>
    <t>P-WBUS</t>
  </si>
  <si>
    <t>Moyen de transport: car de l'entreprise ou école</t>
  </si>
  <si>
    <t>P-BAHN</t>
  </si>
  <si>
    <t>Moyen de transport: train</t>
  </si>
  <si>
    <t>P-POST</t>
  </si>
  <si>
    <t>Moyen de transport: car postal, autocar</t>
  </si>
  <si>
    <t>P-TRAM</t>
  </si>
  <si>
    <t>Moyen de transport: tram, autobus municipal, trolleybus</t>
  </si>
  <si>
    <t>P-VAND</t>
  </si>
  <si>
    <t>H-RART</t>
  </si>
  <si>
    <t>Type d'enregistrement</t>
  </si>
  <si>
    <t>1
2
3
0</t>
  </si>
  <si>
    <t>H-KANT</t>
  </si>
  <si>
    <t>01 - 26
0</t>
  </si>
  <si>
    <t>H-ZGDE</t>
  </si>
  <si>
    <t>H-ORT1</t>
  </si>
  <si>
    <t>Liste 2
Communes sans répartition par quartier</t>
  </si>
  <si>
    <t>H-ORT2</t>
  </si>
  <si>
    <t>H-ORT3</t>
  </si>
  <si>
    <t>H-ZKRS</t>
  </si>
  <si>
    <t>H-GBNR</t>
  </si>
  <si>
    <t>H-WGNR</t>
  </si>
  <si>
    <t>H-HHNR</t>
  </si>
  <si>
    <t>Numéro d'après la Liste de contrôle. Toutes les personnes d'un même ménage possèdent le même numéro.
La numérotation du secteur de recensement est attribuée par le recenseur ou par la commune</t>
  </si>
  <si>
    <t>H-CUHH</t>
  </si>
  <si>
    <t>Code ménage avec sous-locataire</t>
  </si>
  <si>
    <t>H-HKAT</t>
  </si>
  <si>
    <t>Catégorie de ménage</t>
  </si>
  <si>
    <t>H-HHTP</t>
  </si>
  <si>
    <t>1000 - 3200
9110 - 9880
0</t>
  </si>
  <si>
    <t>H-HHTPW</t>
  </si>
  <si>
    <t>Type de ménage selon le domicile économique (WKAT = 1,3)</t>
  </si>
  <si>
    <t>H-APER</t>
  </si>
  <si>
    <t>H-APERW</t>
  </si>
  <si>
    <t>Nombre de personnes dans le ménage selon le domicile économique (WKAT = 1,3)</t>
  </si>
  <si>
    <t>H-WKATA</t>
  </si>
  <si>
    <t>000 - 999</t>
  </si>
  <si>
    <t>H-AKAL</t>
  </si>
  <si>
    <t>Nombre d'enfants</t>
  </si>
  <si>
    <t>1 - 24
0</t>
  </si>
  <si>
    <t>Enfants sans restriction d'âge et d'état civil, y compris beaux-fils et belles-filles</t>
  </si>
  <si>
    <t>H-AKLE</t>
  </si>
  <si>
    <t>Nombre d'enfants célibataires</t>
  </si>
  <si>
    <t>H-KL19</t>
  </si>
  <si>
    <t>Nombre d'enfants célibataires en dessous de 20 ans</t>
  </si>
  <si>
    <t>H-KL20</t>
  </si>
  <si>
    <t>Nombre d'enfants célibataires de 20 à 24 ans</t>
  </si>
  <si>
    <t>1 - 9
0</t>
  </si>
  <si>
    <t>H-KL25</t>
  </si>
  <si>
    <t>Nombre d'enfants célibataires de 25 à 29 ans</t>
  </si>
  <si>
    <t>H-KL30</t>
  </si>
  <si>
    <t>Nombre d'enfants célibataires de 30 ans et plus</t>
  </si>
  <si>
    <t>H-AL00</t>
  </si>
  <si>
    <t>Nombre d'enfants célibataires âgés de moins d'un an</t>
  </si>
  <si>
    <t>H-AL01</t>
  </si>
  <si>
    <t xml:space="preserve">Nombre d'enfants célibataires âgés de 1 an </t>
  </si>
  <si>
    <t>Enfant toujours célibataire (P-ZIVL = 1)</t>
  </si>
  <si>
    <t>H-AL02</t>
  </si>
  <si>
    <t>Nombre d'enfants célibataires âgés de 2 ans</t>
  </si>
  <si>
    <t>H-AL03</t>
  </si>
  <si>
    <t>Nombre d'enfants célibataires âgés de 3 ans</t>
  </si>
  <si>
    <t>H-AL04</t>
  </si>
  <si>
    <t>Nombre d'enfants célibataires âgés de 4 ans</t>
  </si>
  <si>
    <t>H-AL05</t>
  </si>
  <si>
    <t>Nombre d'enfants célibataires âgés de 5 ans</t>
  </si>
  <si>
    <t>H-AL06</t>
  </si>
  <si>
    <t>Nombre d'enfants célibataires âgés de 6 ans</t>
  </si>
  <si>
    <t>H-AL07</t>
  </si>
  <si>
    <t>Nombre d'enfants célibataires âgés de 7 ans</t>
  </si>
  <si>
    <t>H-AL08</t>
  </si>
  <si>
    <t>Nombre d'enfants célibataires âgés de 8 ans</t>
  </si>
  <si>
    <t>H-AL09</t>
  </si>
  <si>
    <t>Nombre d'enfants célibataires âgés de 9 ans</t>
  </si>
  <si>
    <t>H-AL10</t>
  </si>
  <si>
    <t>Nombre d'enfants célibataires âgés de 10 ans</t>
  </si>
  <si>
    <t>H-AL11</t>
  </si>
  <si>
    <t>Nombre d'enfants célibataires âgés de 11 ans</t>
  </si>
  <si>
    <t>H-AL12</t>
  </si>
  <si>
    <t>Nombre d'enfants célibataires âgés de 12 ans</t>
  </si>
  <si>
    <t>H-AL13</t>
  </si>
  <si>
    <t>Nombre d'enfants célibataires âgés de 13 ans</t>
  </si>
  <si>
    <t>H-AL14</t>
  </si>
  <si>
    <t>Nombre d'enfants célibataires âgés de 14 ans</t>
  </si>
  <si>
    <t>H-AL15</t>
  </si>
  <si>
    <t>Nombre d'enfants célibataires âgés de 15 ans</t>
  </si>
  <si>
    <t>H-AL16</t>
  </si>
  <si>
    <t>Nombre d'enfants célibataires âgés de 16 ans</t>
  </si>
  <si>
    <t>H-AL17</t>
  </si>
  <si>
    <t>Nombre d'enfants célibataires âgés de 17 ans</t>
  </si>
  <si>
    <t>H-AL18</t>
  </si>
  <si>
    <t>Nombre d'enfants célibataires âgés de 18 ans</t>
  </si>
  <si>
    <t>H-AL19</t>
  </si>
  <si>
    <t>Nombre d'enfants célibataires âgés de 19 ans</t>
  </si>
  <si>
    <t>H-SO06</t>
  </si>
  <si>
    <t>Nombre de fils célibataires âgés de 6 ans et moins</t>
  </si>
  <si>
    <t>H-TO06</t>
  </si>
  <si>
    <t>Nombre de filles célibataires âgées de 6 ans et moins</t>
  </si>
  <si>
    <t>H-SO15</t>
  </si>
  <si>
    <t>Nombre de fils célibataires de âgés de 7 à 15 ans</t>
  </si>
  <si>
    <t>H-TO15</t>
  </si>
  <si>
    <t>Nombre de filles célibataires âgées de 7 à 15 ans</t>
  </si>
  <si>
    <t>H-SO16</t>
  </si>
  <si>
    <t>Nombre de fils célibataires âgés de 16 ans et plus</t>
  </si>
  <si>
    <t>H-TO16</t>
  </si>
  <si>
    <t>Nombre de filles célibataires âgées de 16 ans et plus</t>
  </si>
  <si>
    <t>H-ST11</t>
  </si>
  <si>
    <t>Nombre de "couples chef de ménage"</t>
  </si>
  <si>
    <t>H-ST11 et H-ST12 s'excluent mutuellement</t>
  </si>
  <si>
    <t>H-ST12</t>
  </si>
  <si>
    <t>Nombre "d'autre chef de ménage"</t>
  </si>
  <si>
    <t>H-ST22</t>
  </si>
  <si>
    <t>Nombre de "(beaux-) parents"</t>
  </si>
  <si>
    <t>1 - 4
0</t>
  </si>
  <si>
    <t>H-ST23</t>
  </si>
  <si>
    <t>Nombre de "frères et soeurs"</t>
  </si>
  <si>
    <t>H-ST24</t>
  </si>
  <si>
    <t>Nombre "d'autre parenté"</t>
  </si>
  <si>
    <t>H-ST31</t>
  </si>
  <si>
    <t>Nombre "d'autre personne"</t>
  </si>
  <si>
    <t>00 - 24
0</t>
  </si>
  <si>
    <t>H-AP65</t>
  </si>
  <si>
    <t>Nombre de personnes de 65 ans et plus</t>
  </si>
  <si>
    <t>Valeur &gt; 25 possible seulement dans un ménage collectif</t>
  </si>
  <si>
    <t>H-AP80</t>
  </si>
  <si>
    <t>Nombre de personnes de 80 ans et plus</t>
  </si>
  <si>
    <t>H-EHEP</t>
  </si>
  <si>
    <t>Nombre de couples (mariés)</t>
  </si>
  <si>
    <t>Seulement dans un ménage privé: indépendamment de STHH et ZIVL (couple non marié) à partir de 2 couples: seulement STHH identique et ZIVL =2</t>
  </si>
  <si>
    <t>H-AEPE</t>
  </si>
  <si>
    <t>Nombre de personnes actives</t>
  </si>
  <si>
    <t>H-AETP</t>
  </si>
  <si>
    <t>Nombre de personnes actives occupées</t>
  </si>
  <si>
    <t>H-VZET</t>
  </si>
  <si>
    <t>Nombre de personnes actives occupées à plein temps</t>
  </si>
  <si>
    <t>H-TZET</t>
  </si>
  <si>
    <t>Nombre de personnes actives occupées à temps partiel</t>
  </si>
  <si>
    <t>H-ELOP</t>
  </si>
  <si>
    <t>Nombre de chômeurs</t>
  </si>
  <si>
    <t>H-IAUP</t>
  </si>
  <si>
    <t>Nombre de personnes de 15 ans et plus en formation</t>
  </si>
  <si>
    <t>H-RENT</t>
  </si>
  <si>
    <t>Nombre de rentier/ère, retraité/e</t>
  </si>
  <si>
    <t>H-AP15</t>
  </si>
  <si>
    <t>Nombre de personnes de moins de 16 ans</t>
  </si>
  <si>
    <t>H-ETKI</t>
  </si>
  <si>
    <t>Nombre d'enfants actifs occupés</t>
  </si>
  <si>
    <t>H-ETKL</t>
  </si>
  <si>
    <t>Nombre d'enfants célibataires actifs occupés</t>
  </si>
  <si>
    <t>P-ZIVL=1; âgé de 16 ans et plus</t>
  </si>
  <si>
    <t>H-RGETG</t>
  </si>
  <si>
    <t>H-RGEMT</t>
  </si>
  <si>
    <t>H-RGEJA</t>
  </si>
  <si>
    <t>1880 - 1975
0</t>
  </si>
  <si>
    <t>H-RALTJ</t>
  </si>
  <si>
    <t>015 - 109
0</t>
  </si>
  <si>
    <t>H-RAKL5</t>
  </si>
  <si>
    <t>H-RVALTJ</t>
  </si>
  <si>
    <t>014 - 109
0</t>
  </si>
  <si>
    <t>H-RGESL</t>
  </si>
  <si>
    <t>H-RZIVL</t>
  </si>
  <si>
    <t>H-REPNR</t>
  </si>
  <si>
    <t>1
99
0</t>
  </si>
  <si>
    <t>Si RART=2, il s'agit de P-EPNR
Si RART=3, il s'agit de P-EPNRW</t>
  </si>
  <si>
    <t>H-RNATI</t>
  </si>
  <si>
    <t>H-RAUSW</t>
  </si>
  <si>
    <t>Permis d'établissement (C)
Permis de séjour annuel (B)
Permis de saisonnier (A)
Requérant d'asile
Autorisation du DFAE
Autorisation de séjour de courte durée / autre statut
Sans indication
Suisse ou ménage collectif</t>
  </si>
  <si>
    <t>H-RGEGW</t>
  </si>
  <si>
    <t>H-RHABG</t>
  </si>
  <si>
    <t>Dans le cas de données multiples le niveau de formation terminée le plus élevé est prioritaire, comme suit: 7 / 6 / 5 / 4 / 3 / 8 / 2</t>
  </si>
  <si>
    <t>H-RESCH</t>
  </si>
  <si>
    <t>Code professionnel (Situation professionnelle)</t>
  </si>
  <si>
    <t>Ordonnée d'après les caractéristiques les plus importantes selon leur degré de priorité
Exploitation "aggrégative" possible pour les niveaux 4/3/2/1</t>
  </si>
  <si>
    <t>H-RBESIT</t>
  </si>
  <si>
    <t>000 - 530
0</t>
  </si>
  <si>
    <t>Combinaison de toutes les caractéristiques prises en compte
Exploitation "aggrégative" possible pour les niveaux 3/2/1</t>
  </si>
  <si>
    <t>H-RSOPK</t>
  </si>
  <si>
    <t>H-RPBER</t>
  </si>
  <si>
    <t>11101 - 47101
0</t>
  </si>
  <si>
    <t>Activité professionnelle actuelle respect. dernière profession exercée.
1. Position = Division (3+4 réunies)
1./2. Position = Classe
1.-3. Position = Groupe
1.-5. Position = Genre</t>
  </si>
  <si>
    <t>H-RBSKO</t>
  </si>
  <si>
    <t>H-RWART</t>
  </si>
  <si>
    <t>Rérérence: Nomenclature générale des activités économiques, 1985 (complétée)
Subdivision des activités économiques:
1.Position = Division
1/2.Position = Classe
1-3.Position = Groupe
1-4.Position = Genre
WART=5600: Code non valable (1 cas). WART=5600 doit être recodé à 5610. (Cette correction concerne tous les fichiers reçus avant le 1.1.1994 ).</t>
  </si>
  <si>
    <t>H-RREFO</t>
  </si>
  <si>
    <t>H-RWSTD</t>
  </si>
  <si>
    <t>1 - 98
0</t>
  </si>
  <si>
    <t>H-ZGETG</t>
  </si>
  <si>
    <t>H-ZGEMT</t>
  </si>
  <si>
    <t>H-ZGEJA</t>
  </si>
  <si>
    <t>H-ZALTJ</t>
  </si>
  <si>
    <t>H-ZAKL5</t>
  </si>
  <si>
    <t>H-ZVALTJ</t>
  </si>
  <si>
    <t>H-ZGESL</t>
  </si>
  <si>
    <t>H-ZZIVL</t>
  </si>
  <si>
    <t>H-ZEPNR</t>
  </si>
  <si>
    <t>01
99
0</t>
  </si>
  <si>
    <t>Toutes les catégories de domicile (WKAT = 1, 2, 3).
Couple non marié seulement s'il est chef de ménage
Le H-ZEPNR nous renseigne à propos de la situation dans le ménage.</t>
  </si>
  <si>
    <t>H-ZNATI</t>
  </si>
  <si>
    <t>H-ZAUSW</t>
  </si>
  <si>
    <t>H-ZGEGW</t>
  </si>
  <si>
    <t>H-ZHABG</t>
  </si>
  <si>
    <t>H-ZESCH</t>
  </si>
  <si>
    <t>H-ZBESIT</t>
  </si>
  <si>
    <t>H-ZSOPK</t>
  </si>
  <si>
    <t>H-ZPBER</t>
  </si>
  <si>
    <t>H-ZBSKO</t>
  </si>
  <si>
    <t>H-ZWART</t>
  </si>
  <si>
    <t>H-ZREFO</t>
  </si>
  <si>
    <t>H-ZWSTD</t>
  </si>
  <si>
    <t>H-XACH</t>
  </si>
  <si>
    <t>Le ménage sans référence d'un secteur de recensement existant a été attribué à l'hectare de ce secteur comprenant le plus grand nombre d'habitants
Le ménage sans référence d'un secteur sans référence géographique a été attribué à l'hectare de la commune comprenant le plus grand nombre d'habitants</t>
  </si>
  <si>
    <t>H-YACH</t>
  </si>
  <si>
    <t>H-SIED</t>
  </si>
  <si>
    <t>H-KATW</t>
  </si>
  <si>
    <t>Catégorie de bâtiment selon le domicile économique</t>
  </si>
  <si>
    <t>1
2
3
7
0</t>
  </si>
  <si>
    <t>H-KATZ</t>
  </si>
  <si>
    <t>Catégorie de bâtiment selon le domicile légal</t>
  </si>
  <si>
    <t>H-ANZW</t>
  </si>
  <si>
    <t>Nombre d'enregistrements-logement par bâtiment</t>
  </si>
  <si>
    <t>000-999
0</t>
  </si>
  <si>
    <t>Il s'agit ici du nombre d'enregistrements-logement par bâtiment. Ne pas confondre avec le nombre d'unités-logement ou le nombre de logements par bâtiment. 
Un bâtiment à usage exclusivement collectif comporte un ou plusieurs enregistrements-logement mais ne comporte pas d'unité-logement.</t>
  </si>
  <si>
    <t>H-GART</t>
  </si>
  <si>
    <t>Type de bâtiments</t>
  </si>
  <si>
    <t>1
2
3
4
5
0</t>
  </si>
  <si>
    <t>Bâtiment affecté principalement à d'autres usages que l'habitation (y compris les hôtels, homes, hôpitaux, etc.)
Bâtiment exclusivement à usage d'habitation
Bâtiment principalement  à usage d'habitation (y compris les maisons paysannes liées à une exploitation agricole)
Habitation de fortune mobile (par ex. une roulotte) ou provisoire (par ex: une baraque)
Enregistrement-bâtiment fictif pour ménage administratif
pas admis</t>
  </si>
  <si>
    <t>H-BAUP</t>
  </si>
  <si>
    <t>Epoque de construction</t>
  </si>
  <si>
    <t>Construit avant 1900
Construit entre 1900 et 1920
Construit entre 1921 et 1946
Construit entre 1947 et 1960
Construit entre 1961 et 1970
Construit entre 1971 et 1980
Construit entre 1981 et 1985
Construit entre 1986 et 1990
Habitation de fortune (H-GART=4) OU enregistrement bâtiment fictif (H-GART=5)</t>
  </si>
  <si>
    <t>H-RENO</t>
  </si>
  <si>
    <t>Rénovation ou transformation du bâtiment depuis 1961</t>
  </si>
  <si>
    <t>Oui
Non
Habitation de fortune (H-GART=4) OU enregistrement bâtiment fictif (H-GART=5)</t>
  </si>
  <si>
    <t>H-RENP</t>
  </si>
  <si>
    <t>Epoque de la dernière rénovation</t>
  </si>
  <si>
    <t>3
4
5
6
0</t>
  </si>
  <si>
    <t>H-ANZG</t>
  </si>
  <si>
    <t>Nombre de niveaux du bâtiment (rez-de-chaussée compris)</t>
  </si>
  <si>
    <t>01 - 33
0</t>
  </si>
  <si>
    <t>H-EIGW</t>
  </si>
  <si>
    <t>Logements en propriété par étage</t>
  </si>
  <si>
    <t>H-ETYP</t>
  </si>
  <si>
    <t>Propriétaire du bâtiment (type de propriétaire)</t>
  </si>
  <si>
    <t>1
2
3
4
5
6
7
8
9
10
11
0</t>
  </si>
  <si>
    <t>Un ou plusieurs particulier(s) (y compris indivision successorale)
Une société immobilière (par ex: consortium de construction)
Une société coopérative de construction et d'habitation, dont les membres habitent le bâtiment en majorité
Une autre société coopérative de construction et d'habitation
Une assurance
Un fonds de placement immobilier
Un fonds de prévoyance professionnelle (caisse de pension)
Une autre fondation
Une association
Une commune (y compris communauté scolaire, paroisse, bourgeoisie), un canton, la Confédération
Un autre genre de propriétaire (par ex: société anonyme, société immobilière d'actionnaires-locataires SIAL) 
Habitation de fortune (H-GART=4) ou enregistrement bâtiment fictif (H-GART=5)</t>
  </si>
  <si>
    <t>Sous la rubrique Autre (11), on trouve au niveau suisse:
82 % de sociétés anonymes
9   %  de sociétés coopératives
9   % de divers</t>
  </si>
  <si>
    <t>H-HEIZ</t>
  </si>
  <si>
    <t>Moyen principal de chauffage</t>
  </si>
  <si>
    <t>Poêle
Central pour un logement
Central pour un bâtiment
Chauffage à distance (eau surchauffée ou vapeur)
Central pour plusieurs bâtiments
Pas de chauffage
Habitation de fortune (H-GART=4) ou enregistrement bâtiment fictif (H-GART=5)</t>
  </si>
  <si>
    <t>H-WWAS</t>
  </si>
  <si>
    <t>Installation de fourniture d'eau chaude</t>
  </si>
  <si>
    <t>Avec installation de fourniture d'eau chaude
Sans installation de fourniture d'eau chaude
Habitation de fortune (H-GART=4) ou enregistrement bâtiment fictif (H-GART=5)</t>
  </si>
  <si>
    <t>H-ENH1</t>
  </si>
  <si>
    <t>Principal agent énergétique utilisé pour le chauffage</t>
  </si>
  <si>
    <t>1
2
3
4
5
6
7
8
9
0</t>
  </si>
  <si>
    <t>Mazout
Gaz
Pompe à chaleur
Electricité
Bois
Charbon
Chaleur à distance (eau surchauffée ou vapeur)
Capteur solaire
Autre
Bâtiment sans chauffage (H-HEIZ=6) ou Habitation de fortune (H-GART=4) ou enregistrement bâtiment fictif (H-GART=5)</t>
  </si>
  <si>
    <t xml:space="preserve">Sous "autres" figurent principalement des systèmes de récupération de chaleur </t>
  </si>
  <si>
    <t>H-ENH2</t>
  </si>
  <si>
    <t>Agents énergétiques utilisés pour le chauffage d'appoint</t>
  </si>
  <si>
    <t>H-ENSO</t>
  </si>
  <si>
    <t>Agent énergétique pour la production d'eau chaude en été</t>
  </si>
  <si>
    <t>Mazout
Gaz
Pompe à chaleur
Electricité
Bois
Charbon
Chaleur à distance (eau surchauffée ou vapeur)
Capteur solaire
Autre
Bâtiment sans production d'eau chaude (H-WWAS=2) ou Habitation de fortune (H-GART=4) ou enregistrement bâtiment fictif (H-GART=5)</t>
  </si>
  <si>
    <t>H-ENWI</t>
  </si>
  <si>
    <t>Agent énergétique pour la production d'eau chaude en hiver</t>
  </si>
  <si>
    <t>H-SPEZ</t>
  </si>
  <si>
    <t>Code spécial / Code adresse</t>
  </si>
  <si>
    <t>Code spécial / code adresse conformément aux besoins régionaux</t>
  </si>
  <si>
    <t>H-AZWT</t>
  </si>
  <si>
    <t xml:space="preserve">Nombre total d'unités-logement dans le bâtiment </t>
  </si>
  <si>
    <t>H-ABEW</t>
  </si>
  <si>
    <t>Nombre d'unités-logement  occupées selon le domicile économique dans le bâtiment</t>
  </si>
  <si>
    <t>H-ABEZ</t>
  </si>
  <si>
    <t>Nombre d'unités-logement  occupées selon le domicile légal dans le bâtiment</t>
  </si>
  <si>
    <t>H-AZWW</t>
  </si>
  <si>
    <t xml:space="preserve">Nombre de logements dans le bâtiment habités temporairement selon le domicile économique </t>
  </si>
  <si>
    <t>H-AZWZ</t>
  </si>
  <si>
    <t xml:space="preserve">Nombre de logements dans le bâtiment habités temporairement selon le domicile légal </t>
  </si>
  <si>
    <t>H-ANBE</t>
  </si>
  <si>
    <t>Nombre de logements vacants ou vides dans le bâtiment</t>
  </si>
  <si>
    <t>H-GAPTO</t>
  </si>
  <si>
    <t>Nombre total de personnes dans le bâtiment</t>
  </si>
  <si>
    <t>H-APWG</t>
  </si>
  <si>
    <t xml:space="preserve">Nombre de personnes dans le bâtiment selon le domicile économique </t>
  </si>
  <si>
    <t>H-GAPZR</t>
  </si>
  <si>
    <t xml:space="preserve">Nombre de personnes dans le bâtiment selon le domicile légal </t>
  </si>
  <si>
    <t>H-STAT02</t>
  </si>
  <si>
    <t>Code de fusion</t>
  </si>
  <si>
    <t xml:space="preserve">
F
B
0</t>
  </si>
  <si>
    <t>H-ETAG</t>
  </si>
  <si>
    <t>Etage</t>
  </si>
  <si>
    <t>01 - 33
91
92
93
94
0</t>
  </si>
  <si>
    <t>1er au 33e étage
Maison individuelle
Sous-sol
Rez-de-chaussée
Entresol, rez-de-chaussée surélevé
Il ne s'agit pas d'une unité-logement (H-KATW/Z =2 et H-HHTP &lt; 4000 ou H-KATW/Z = 0 ou 3 et H-HHTP &gt; 9000) ou Habitation de fortune (H-GART =4) ou Enregistrement-logement fictif (H-BARW/Z=0)</t>
  </si>
  <si>
    <t>H-ZIMM</t>
  </si>
  <si>
    <t>Nombre de pièces contiguës</t>
  </si>
  <si>
    <t>01 - 99
0</t>
  </si>
  <si>
    <t>H-FLAE</t>
  </si>
  <si>
    <t>Surface du logement en m2</t>
  </si>
  <si>
    <t>H-KCHE</t>
  </si>
  <si>
    <t>Cuisine ou cuisinette</t>
  </si>
  <si>
    <t>Cuisine
Cuisinette
Ni cuisine, ni cuisinette
Unité-logement sans indication de surface ou il ne s'agit pas d'une unité-logement (H-KATW/Z =2 et H-HHTP &lt; 4000 ou H-KATW/Z = 0 ou 3 et H-HHTP &gt; 9000) ou Habitation de fortune (H-GART =4) ou Enregistrement-logement fictif (H-BARW/Z=0)</t>
  </si>
  <si>
    <t>H-BTYP</t>
  </si>
  <si>
    <t>Statut d'occupation du logement</t>
  </si>
  <si>
    <t>Locataire
Coopérateur/trice
Propriétaire du logement / Propriétaire par étage
Propriétaire unique de la maison où se trouve le logement
Copropriétaire de la maison où se trouve le logement
Détenteur/trice d'un logement de service
Détenteur/trice d'un logement gratuit
Détenteur/trice d'un bail à ferme
Le logement n'est pas occupé (H-HHNR=0) ou Il ne s'agit pas d'une unité-logement (H-KATW/Z =2 et H-HHTP &lt; 4000 ou H-KATW/Z = 0 ou 3 et H-HHTP &gt; 9000) ou Habitation de fortune (H-GART=4) ou Enregistrement-logement fictif (H-BARW/Z=0)</t>
  </si>
  <si>
    <t>H-MIET</t>
  </si>
  <si>
    <t>Loyer mensuel net (en francs)</t>
  </si>
  <si>
    <t>00000 - 99999
0</t>
  </si>
  <si>
    <t>Le loyer mensuel net est pris en considération lorsqu'il s'agit d'un loyer:
- pour logements occupés par des locataires ou des coopérateurs (H-BARW/Z =1 et H-BTYP = 1 ou 2)
- pour logements vacants ou vides (H-BARW/Z = 3)</t>
  </si>
  <si>
    <t>H-ZUZI</t>
  </si>
  <si>
    <t>Nombre de pièces d'habitation indépendantes</t>
  </si>
  <si>
    <t>H-UHH1</t>
  </si>
  <si>
    <t>Numéro du 1er ménage de sous-locataire</t>
  </si>
  <si>
    <t>H-UHH2</t>
  </si>
  <si>
    <t>Numéro du 2e ménage de sous-locataire</t>
  </si>
  <si>
    <t>H-UHH3</t>
  </si>
  <si>
    <t>Numéro du 3e ménage de sous-locataire</t>
  </si>
  <si>
    <t>H-WUHHT</t>
  </si>
  <si>
    <t>Nombre total de ménages de sous-locataires dans le logement</t>
  </si>
  <si>
    <t>H-WUHHW</t>
  </si>
  <si>
    <t>Nombre de ménages de sous-locataires dans le logement selon le domicile économique</t>
  </si>
  <si>
    <t>0 - 9</t>
  </si>
  <si>
    <t>H-BARW</t>
  </si>
  <si>
    <t>Mode d'utilisation du logement  sous l'angle du domicile économique</t>
  </si>
  <si>
    <t>Occupé en permanence
Habité temporairement
Vacant ou vide
Logement occupé uniquement sous l'angle économique, sans cuisine, ni cuisinette
Enregistrement-logement fictif pour ménage administratif</t>
  </si>
  <si>
    <t>Le code 7 signifie que le logement doit être ignoré sous l'angle économique</t>
  </si>
  <si>
    <t>H-BARZ</t>
  </si>
  <si>
    <t>Mode d'utilisation du logement  sous l'angle du domicile légal</t>
  </si>
  <si>
    <t>Occupé en permanence
Habité temporairement
Vacant ou vide
Logement occupé uniquement sous l'angle légal, sans cuisine, ni cuisinette
Enregistrement-logement fictif pour ménage administratif</t>
  </si>
  <si>
    <t>Le code 7 signifie que le logement doit être ignoré d'un point de vue légal</t>
  </si>
  <si>
    <t>H-WAPTO</t>
  </si>
  <si>
    <t>Nombre total de personnes dans l'unité-logement</t>
  </si>
  <si>
    <t>H-APWS</t>
  </si>
  <si>
    <t xml:space="preserve">Nombre de personnes dans l'unité-logement selon le domicile économique </t>
  </si>
  <si>
    <t>H-WAPZR</t>
  </si>
  <si>
    <t xml:space="preserve">Nombre de personnes dans l'unité-logement selon le domicile légal </t>
  </si>
  <si>
    <t>H-BEWO</t>
  </si>
  <si>
    <t xml:space="preserve">Habitants par pièce d'habitation (selon le nombre total d'habitants dans l'unité-logement) </t>
  </si>
  <si>
    <t>Format = X,XX   La valeur maximale est 9,99 et non 999. 
Pas d'habitant dans le logement (H-HHNR = 0) ou Il ne s'agit pas d'une  unité-logement (H-KATW/Z =2 et H-HHTP &lt; 4000 ou H-KATW/Z = 0 ou 3 et H-HHTP &gt; 9000) ou Habitation de fortune (H-GART=4) ou Enregistrement-logement fictif (H-BARW/Z=0)</t>
  </si>
  <si>
    <t>H-BEWW</t>
  </si>
  <si>
    <t>Habitants par pièce d'habitation (selon le nombre d'habitants avec domicile économique dans l'unité-logement)</t>
  </si>
  <si>
    <t>Format = X,XX   La valeur maximale est 9,99 et non 999. 
Pas d'habitant sous l'angle économique dans le logement (H-HHNR = 0) ou Il ne s'agit pas d'une  unité-logement (H-KATW/Z =2 et H-HHTP &lt; 4000 ou H-KATW/Z = 0 ou 3 et H-HHTP &gt; 9000) ou Habitation de fortune (H-GART=4) ou Enregistrement-logement fictif (H-BARW/Z=0)</t>
  </si>
  <si>
    <t>H-FLBT</t>
  </si>
  <si>
    <t>Surface en m2 par habitant (selon le nombre d'habitants total dans l'unité-logement)</t>
  </si>
  <si>
    <t>H-FLBW</t>
  </si>
  <si>
    <t>Surface en m2 par personne dans l'unité-logement (selon le nombre de personnes avec domicile économique dans le logement)</t>
  </si>
  <si>
    <t>H-MIQM</t>
  </si>
  <si>
    <t>Loyer mensuel net (en francs) par m2</t>
  </si>
  <si>
    <t>0000 - 9999
0</t>
  </si>
  <si>
    <t>H-WTYP</t>
  </si>
  <si>
    <t>Type de logement</t>
  </si>
  <si>
    <t xml:space="preserve">1
2
3
4
5
6
0
</t>
  </si>
  <si>
    <t xml:space="preserve">
GW-RART</t>
  </si>
  <si>
    <t xml:space="preserve">
GW-ZGDE</t>
  </si>
  <si>
    <t xml:space="preserve">0001 - 9999
0
</t>
  </si>
  <si>
    <t xml:space="preserve">
GW-ORT1</t>
  </si>
  <si>
    <t>0 - 99
0</t>
  </si>
  <si>
    <t xml:space="preserve">
GW-ORT2
</t>
  </si>
  <si>
    <t xml:space="preserve">
GW-ORT3
</t>
  </si>
  <si>
    <t xml:space="preserve">
GW-ZKRS
</t>
  </si>
  <si>
    <t>00000001 - 99999999
0</t>
  </si>
  <si>
    <t xml:space="preserve">
GW-GBNR
</t>
  </si>
  <si>
    <t xml:space="preserve">
W-WGNR
</t>
  </si>
  <si>
    <t>0001 - 9999
0</t>
  </si>
  <si>
    <t xml:space="preserve">
W-HHNR
</t>
  </si>
  <si>
    <t xml:space="preserve">
W-STAT02
</t>
  </si>
  <si>
    <t xml:space="preserve">
GW-TGP
</t>
  </si>
  <si>
    <t>J  
N
0</t>
  </si>
  <si>
    <t xml:space="preserve">
G-XACH
</t>
  </si>
  <si>
    <t>000001 - 999999
0</t>
  </si>
  <si>
    <t xml:space="preserve">
G-YACH</t>
  </si>
  <si>
    <t xml:space="preserve">
G-SIED
</t>
  </si>
  <si>
    <t xml:space="preserve">
G-KATW</t>
  </si>
  <si>
    <t xml:space="preserve">
G-KATZ</t>
  </si>
  <si>
    <t xml:space="preserve">
G-ANZW</t>
  </si>
  <si>
    <t>1 - 99
0</t>
  </si>
  <si>
    <t xml:space="preserve">
G-GART</t>
  </si>
  <si>
    <t xml:space="preserve">1
2
3
4
5
0
</t>
  </si>
  <si>
    <t xml:space="preserve">
G-BAUP</t>
  </si>
  <si>
    <t xml:space="preserve">1
2
3
4
5
6
7
8
0
</t>
  </si>
  <si>
    <t xml:space="preserve">
G-RENO</t>
  </si>
  <si>
    <t xml:space="preserve">1
2
0
</t>
  </si>
  <si>
    <t xml:space="preserve">
G-RENP</t>
  </si>
  <si>
    <t xml:space="preserve">3
4
5
6
0
</t>
  </si>
  <si>
    <t xml:space="preserve">
G-ANZG</t>
  </si>
  <si>
    <t xml:space="preserve">
G-EIGW
</t>
  </si>
  <si>
    <t xml:space="preserve">
G-ETYP</t>
  </si>
  <si>
    <t xml:space="preserve">1
2
3
4
5
6
7
8
9
10
11
0
</t>
  </si>
  <si>
    <t xml:space="preserve">
G-HEIZ</t>
  </si>
  <si>
    <t xml:space="preserve">
G-WWAS</t>
  </si>
  <si>
    <t xml:space="preserve">
G-ENH1</t>
  </si>
  <si>
    <t xml:space="preserve">1
2
3
4
5
6
7
8
9
0
</t>
  </si>
  <si>
    <t xml:space="preserve">
G-ENH2</t>
  </si>
  <si>
    <t>01
02
03
04
05
06
07
08
09
0</t>
  </si>
  <si>
    <t xml:space="preserve">
G-ENSO
</t>
  </si>
  <si>
    <t xml:space="preserve">
G-ENWI</t>
  </si>
  <si>
    <t xml:space="preserve">
G-SPEZ</t>
  </si>
  <si>
    <t>000000 - 999999
0</t>
  </si>
  <si>
    <t>Seulement pour les cantons de BS, BL, GE et pour la ville de Lausanne
Les autres cantons</t>
  </si>
  <si>
    <t xml:space="preserve">
G-AZWT</t>
  </si>
  <si>
    <t>000 - 999 
0</t>
  </si>
  <si>
    <t xml:space="preserve">
G-ABEW</t>
  </si>
  <si>
    <t xml:space="preserve">
G-ABEZ</t>
  </si>
  <si>
    <t xml:space="preserve">
G-AZWW</t>
  </si>
  <si>
    <t xml:space="preserve">
G-AZWZ</t>
  </si>
  <si>
    <t xml:space="preserve">
G-ANBE</t>
  </si>
  <si>
    <t xml:space="preserve">
G-APTO</t>
  </si>
  <si>
    <t xml:space="preserve">
G-APWG</t>
  </si>
  <si>
    <t xml:space="preserve">
G-APZR</t>
  </si>
  <si>
    <t>SJAHR_N</t>
  </si>
  <si>
    <t>Numéro de l’enregistrement</t>
  </si>
  <si>
    <t>Naissance comptée ou non dans la statistique officielle</t>
  </si>
  <si>
    <t>Date de la naissance</t>
  </si>
  <si>
    <t>HEIRAT_ELTERN_D</t>
  </si>
  <si>
    <t>Date du mariage</t>
  </si>
  <si>
    <t>M_GEB_JAHR_N</t>
  </si>
  <si>
    <t>Année de naissance de la mère</t>
  </si>
  <si>
    <t>M_GEBURT_D</t>
  </si>
  <si>
    <t>Date de naissance de la mère</t>
  </si>
  <si>
    <t>V_GEB_JAHR_N</t>
  </si>
  <si>
    <t>Année de naissance du père</t>
  </si>
  <si>
    <t>V_GEBURT_D</t>
  </si>
  <si>
    <t>Date de naissance du père</t>
  </si>
  <si>
    <t>GEBURT_VOR_D</t>
  </si>
  <si>
    <t>Date de naissance du dernier enfant né vivant du lit actuel</t>
  </si>
  <si>
    <t>EREIGNIS_STD_N</t>
  </si>
  <si>
    <t>Heure de naissance</t>
  </si>
  <si>
    <t>M_ALTER_ERFUELLT_N</t>
  </si>
  <si>
    <t>Age de la mère</t>
  </si>
  <si>
    <t>V_ALTER_ERFUELLT_N</t>
  </si>
  <si>
    <t>Age du père</t>
  </si>
  <si>
    <t>EHEDAUER_MT_ERFUELLT_N</t>
  </si>
  <si>
    <t>Durée du mariage (mois)</t>
  </si>
  <si>
    <t>EHEDAUER_JA_ERFUELLT_N</t>
  </si>
  <si>
    <t>Durée du mariage (années)</t>
  </si>
  <si>
    <t>DAUER_VOR_MT_ERFUELLT_N</t>
  </si>
  <si>
    <t>Durée depuis la dernière naissance vivante (mois)</t>
  </si>
  <si>
    <t>DAUER_VOR_JA_ERFUELLT_N</t>
  </si>
  <si>
    <t>Durée depuis la dernière naissance vivante (années)</t>
  </si>
  <si>
    <t>GESCHLECHT_CD_T</t>
  </si>
  <si>
    <t>Sexe de l’enfant</t>
  </si>
  <si>
    <t>K_HST_ST_AKT_N</t>
  </si>
  <si>
    <t>Nationalité de l’enfant</t>
  </si>
  <si>
    <t>GEST_ALTER_N</t>
  </si>
  <si>
    <t>Age gestationnel en jours</t>
  </si>
  <si>
    <t>GEB_ORT_N</t>
  </si>
  <si>
    <t>Lieu de naissance</t>
  </si>
  <si>
    <t>ST_AKT_N</t>
  </si>
  <si>
    <t>ART_GEBURT2_CD_N</t>
  </si>
  <si>
    <t>Type de naissance</t>
  </si>
  <si>
    <t>ANZ_KNABEN_N</t>
  </si>
  <si>
    <t>Nombre de garçons en cas de naissance multiple</t>
  </si>
  <si>
    <t>ANZ_MAEDCHEN_N</t>
  </si>
  <si>
    <t>Nombre de filles en cas de naissances multiples</t>
  </si>
  <si>
    <t>KOERPER_LAENGE_GES_N</t>
  </si>
  <si>
    <t>Taille en cm</t>
  </si>
  <si>
    <t>KOERPER_GEWICHT_GES_N</t>
  </si>
  <si>
    <t>Poids en grammes</t>
  </si>
  <si>
    <t>WIEVIELTES_K_N</t>
  </si>
  <si>
    <t>Rang de l’enfant du lit actuel</t>
  </si>
  <si>
    <t>VORNAME_T</t>
  </si>
  <si>
    <t>Prénom de l’enfant</t>
  </si>
  <si>
    <t>M_HST_ST_AKT_N</t>
  </si>
  <si>
    <t>M_ZSD_CD_N</t>
  </si>
  <si>
    <t>HEIRAT_ST_CD_N</t>
  </si>
  <si>
    <t>Pays où le mariage a été enregistré</t>
  </si>
  <si>
    <t>M_WORT_AKT_GEM|ST_N</t>
  </si>
  <si>
    <t>M_WOHNKANTON_AKT_N</t>
  </si>
  <si>
    <t>M_GEB_ST_AKT_N</t>
  </si>
  <si>
    <t>Mère: pays de naissance</t>
  </si>
  <si>
    <t>M_ST_BERUF_N</t>
  </si>
  <si>
    <t>Mère : situation dans la profession</t>
  </si>
  <si>
    <t>M_BERUF_CD_N</t>
  </si>
  <si>
    <t>V_ST_BERUF_N</t>
  </si>
  <si>
    <t>V_BERUF_CD_N</t>
  </si>
  <si>
    <t>V_HST_ST_AKT_N</t>
  </si>
  <si>
    <t>GEBURT_VOR_GESAMT_D</t>
  </si>
  <si>
    <t>Date de naissance du dernier enfant né vivant au  total</t>
  </si>
  <si>
    <t>K_ANZ_N</t>
  </si>
  <si>
    <t xml:space="preserve">Rang biologique de l’enfant </t>
  </si>
  <si>
    <t>K_TOT_ANZ_N</t>
  </si>
  <si>
    <t>Enfants de cette union qui sont décédés</t>
  </si>
  <si>
    <t>DAUER_VOR_GESAMT_JA_ERFUELLT_N</t>
  </si>
  <si>
    <t>Durée depuis la naissance du dernier enfant né vivant en années révolues</t>
  </si>
  <si>
    <t>DAUER_VOR_GESAMT_MT_ERFUELLT_N</t>
  </si>
  <si>
    <t>Durée depuis la naissance du dernier enfant né vivant en mois révolus</t>
  </si>
  <si>
    <t>EREIGNIS_DAT_FL_N</t>
  </si>
  <si>
    <t xml:space="preserve">Flag Date de la naissance </t>
  </si>
  <si>
    <t>M_GEBURT_DAT_FL_N</t>
  </si>
  <si>
    <t xml:space="preserve">Flag Date de naissance de la mère </t>
  </si>
  <si>
    <t>HEIRAT_ELTERN_DAT_FL_N</t>
  </si>
  <si>
    <t xml:space="preserve">Flag Date du mariage </t>
  </si>
  <si>
    <t>V_GEBURT_DAT_FL_N</t>
  </si>
  <si>
    <t xml:space="preserve">Flag Date de naissance du père </t>
  </si>
  <si>
    <t>GEBURT_VOR_DAT_FL_N</t>
  </si>
  <si>
    <t xml:space="preserve">Flag Date de naissance du dernier enfant né vivant </t>
  </si>
  <si>
    <t xml:space="preserve">Flag Heure de naissance </t>
  </si>
  <si>
    <t>GESCHLECHT_CD_FL_N</t>
  </si>
  <si>
    <t xml:space="preserve">Flag  Sexe de l’enfant </t>
  </si>
  <si>
    <t>ART_GEBURT2_CD_FL_N</t>
  </si>
  <si>
    <t xml:space="preserve">Flag Type de naissance </t>
  </si>
  <si>
    <t>ANZ_KNABEN_FL_N</t>
  </si>
  <si>
    <t>Flag Nombre de garçons</t>
  </si>
  <si>
    <t>ANZ_MAEDCHEN_FL_N</t>
  </si>
  <si>
    <t>Flag Nombre de filles</t>
  </si>
  <si>
    <t>K_ANZ_FL_N</t>
  </si>
  <si>
    <t>Flag Rang de l'enfant au total</t>
  </si>
  <si>
    <t>WIEVIELTES_K_FL_N</t>
  </si>
  <si>
    <t>Flag Rang de l’enfant du lit actuel</t>
  </si>
  <si>
    <t>M_ZSD_CD_FL_N</t>
  </si>
  <si>
    <t>M_WORT_SITZ_CD_N</t>
  </si>
  <si>
    <t>V_ALTER_ANNAEHERND_N</t>
  </si>
  <si>
    <t>Age atteint du père</t>
  </si>
  <si>
    <t>M_ALTER_ANNAEHERND_N</t>
  </si>
  <si>
    <t>Age atteint de la mère</t>
  </si>
  <si>
    <t>Numéro d'identification de l'enregistrement</t>
  </si>
  <si>
    <t>Date de l'événement</t>
  </si>
  <si>
    <t>dès 1969</t>
  </si>
  <si>
    <t>1979-86</t>
  </si>
  <si>
    <t>dès 1987</t>
  </si>
  <si>
    <t>1969-86</t>
  </si>
  <si>
    <t>1972-78</t>
  </si>
  <si>
    <t>1972-86</t>
  </si>
  <si>
    <t>1969-78</t>
  </si>
  <si>
    <t>1987-1997</t>
  </si>
  <si>
    <t>1969-98</t>
  </si>
  <si>
    <t>JJMMAAAA</t>
  </si>
  <si>
    <t>0 - 23</t>
  </si>
  <si>
    <t>0 - 23
99</t>
  </si>
  <si>
    <t>heure</t>
  </si>
  <si>
    <t>000 - 120</t>
  </si>
  <si>
    <t>0 - 999</t>
  </si>
  <si>
    <t>0 - 100</t>
  </si>
  <si>
    <t>8100 à 8999</t>
  </si>
  <si>
    <t>pays selon nomenclature OFS</t>
  </si>
  <si>
    <t>https://www.bfs.admin.ch/bfs/fr/home/bases-statistiques/stgb.html</t>
  </si>
  <si>
    <t>1
2
3
4
9</t>
  </si>
  <si>
    <t>30-59
10-65
99</t>
  </si>
  <si>
    <t>dès 650
dès 100
9999</t>
  </si>
  <si>
    <t>1
2
3
4
5
6
7</t>
  </si>
  <si>
    <t>0
1
2
3</t>
  </si>
  <si>
    <t>1 - 6810</t>
  </si>
  <si>
    <t>1 - 6810
8201 - 8999</t>
  </si>
  <si>
    <t>https://www.bfs.admin.ch/bfs/fr/home/bases-statistiques/agvch.html</t>
  </si>
  <si>
    <t>112 - 320
.</t>
  </si>
  <si>
    <t>0 - 5
.</t>
  </si>
  <si>
    <t>01-22
.</t>
  </si>
  <si>
    <t>100-999</t>
  </si>
  <si>
    <t>voir la liste des profressions du RFP de 1970</t>
  </si>
  <si>
    <t>0 - 8</t>
  </si>
  <si>
    <t>0
1
5</t>
  </si>
  <si>
    <t>1969-97
information du fournisseur de données
jour estimé
mois estimé
jour et mois estimés
date entière estimée
dès 1998
information du fournisseur de données
estimation
année correcte, jour et/ou mois estimés</t>
  </si>
  <si>
    <t xml:space="preserve">
0
2
3
4
7
0
1
5</t>
  </si>
  <si>
    <t>1
2
4
9</t>
  </si>
  <si>
    <t>M_GEB_D</t>
  </si>
  <si>
    <t>M_AUFLOESUNGSJAHR_N</t>
  </si>
  <si>
    <t>M_AUFLOESUNG_D</t>
  </si>
  <si>
    <t>F_GEB_JAHR_N</t>
  </si>
  <si>
    <t>F_GEB_D</t>
  </si>
  <si>
    <t>F_AUFLOESUNGSJAHR_N</t>
  </si>
  <si>
    <t>F_AUFLOESUNG_D</t>
  </si>
  <si>
    <t>M_DAUER_AUFLOESUNG_N</t>
  </si>
  <si>
    <t>F_ALTER_ERFUELLT_N</t>
  </si>
  <si>
    <t>F_DAUER_AUFLOESUNG_N</t>
  </si>
  <si>
    <t>K1_GEB_D</t>
  </si>
  <si>
    <t>K2_GEB_D</t>
  </si>
  <si>
    <t>K3_GEB_D</t>
  </si>
  <si>
    <t>K4_GEB_D</t>
  </si>
  <si>
    <t>K1_GEBORT_AKT_GEM|ST_N</t>
  </si>
  <si>
    <t>K2_GEBORT_AKT_GEM|ST_N</t>
  </si>
  <si>
    <t>K3_GEBORT_AKT_GEM|ST_N</t>
  </si>
  <si>
    <t>K4_GEBORT_AKT_GEM|ST_N</t>
  </si>
  <si>
    <t>M_NAMENSWAHL_CD_N</t>
  </si>
  <si>
    <t>F_NAMENSWAHL_CD_N</t>
  </si>
  <si>
    <t>M_HST_AKT_N</t>
  </si>
  <si>
    <t>M_ZST_CD_N</t>
  </si>
  <si>
    <t>M_KONF_CD_N</t>
  </si>
  <si>
    <t>M_GEBORT_AKT_GEM|ST_N</t>
  </si>
  <si>
    <t>M_BERUF_N</t>
  </si>
  <si>
    <t>F_HST_AKT_N</t>
  </si>
  <si>
    <t>F_ZST_CD_N</t>
  </si>
  <si>
    <t>F_KONF_CD_N</t>
  </si>
  <si>
    <t>F_GEBORT_AKT_GEM|ST_N</t>
  </si>
  <si>
    <t>F_WORT_AKT_GEM|ST_N</t>
  </si>
  <si>
    <t>F_WOHNKANTON_AKT_N</t>
  </si>
  <si>
    <t>F_ST_BERUF_N</t>
  </si>
  <si>
    <t>F_BERUF_N</t>
  </si>
  <si>
    <t>M_GEB_DAT_FL_N</t>
  </si>
  <si>
    <t>M_AUFLOESUNG_DAT_FL_N</t>
  </si>
  <si>
    <t>F_GEB_DAT_FL_N</t>
  </si>
  <si>
    <t>F_AUFLOESUNG_DAT_FL_N</t>
  </si>
  <si>
    <t>M_ZST_CD_FL_N</t>
  </si>
  <si>
    <t>F_ZST_CD_FL_N</t>
  </si>
  <si>
    <t>F_WORT_SITZ_CD_N</t>
  </si>
  <si>
    <t>M_DAUER_AUFLOE_MT_ERFUELLT_N</t>
  </si>
  <si>
    <t>M_DAUER_AUFLOE_JA_ANNAEHERND_N</t>
  </si>
  <si>
    <t>F_ALTER_ANNAEHERND_N</t>
  </si>
  <si>
    <t>F_DAUER_AUFLOE_MT_ERFUELLT_N</t>
  </si>
  <si>
    <t>F_DAUER_AUFLOE_JA_ANNAEHERND_N</t>
  </si>
  <si>
    <t>ALTERSDIFF_ANNAEHERND_N</t>
  </si>
  <si>
    <t>ALTERSDIFF_ERFUELLT_N</t>
  </si>
  <si>
    <t>K1_ALTER_JA_ERFUELLT_N</t>
  </si>
  <si>
    <t>K1_ALTER_MT_ERFUELLT_N</t>
  </si>
  <si>
    <t>K2_ALTER_JA_ERFUELLT_N</t>
  </si>
  <si>
    <t>K2_ALTER_MT_ERFUELLT_N</t>
  </si>
  <si>
    <t>K3_ALTER_JA_ERFUELLT_N</t>
  </si>
  <si>
    <t>K3_ALTER_MT_ERFUELLT_N</t>
  </si>
  <si>
    <t>K4_ALTER_JA_ERFUELLT_N</t>
  </si>
  <si>
    <t>K4_ALTER_MT_ERFUELLT_N</t>
  </si>
  <si>
    <t>BEZUG_CD_N</t>
  </si>
  <si>
    <t>WORT_SITZ_CD_N</t>
  </si>
  <si>
    <t>WORT_AKT_GEM_N</t>
  </si>
  <si>
    <t>WOHNKANTON_AKT_N</t>
  </si>
  <si>
    <t>Mariage compté ou non dans la statistique officielle</t>
  </si>
  <si>
    <t>Mari: Date de naissance</t>
  </si>
  <si>
    <t>Femme: Date de naissance</t>
  </si>
  <si>
    <t>Age du mari au mariage en années révolues</t>
  </si>
  <si>
    <t>Age de la femme au mariage en années révolues</t>
  </si>
  <si>
    <t>Durée écoulée entre la dissolution du mariage et le remariage de la femme en années révolues</t>
  </si>
  <si>
    <t>Nombre d'enfants communs avant le mariage</t>
  </si>
  <si>
    <t>Date de naissance du 1er enfant</t>
  </si>
  <si>
    <t>Date de naissance du 2ème enfant</t>
  </si>
  <si>
    <t>Date de naissance du 3ème enfant</t>
  </si>
  <si>
    <t>Date de naissance du 4ème enfant</t>
  </si>
  <si>
    <t>Lieu de naissance du 1er enfant</t>
  </si>
  <si>
    <t>Lieu de naissance du 2ème enfant</t>
  </si>
  <si>
    <t>Lieu de naissance du 3ème enfant</t>
  </si>
  <si>
    <t>Lieu de naissance du 4ème enfant</t>
  </si>
  <si>
    <t>Femme : situation dans la profession</t>
  </si>
  <si>
    <t>Femme : profession</t>
  </si>
  <si>
    <t>Mari: Age atteint</t>
  </si>
  <si>
    <t>Mari: Durée en mois révolus entre le divorce/veuvage et le remariage</t>
  </si>
  <si>
    <t>Mari: Durée en années atteintes entre le divorce/veuvage et le remariage</t>
  </si>
  <si>
    <t>Femme: Age atteint</t>
  </si>
  <si>
    <t>Femme: Durée en mois révolus entre le divorce/veuvage et le remariage</t>
  </si>
  <si>
    <t>Femme: Durée en années atteintes entre le divorce/veuvage et le remariage</t>
  </si>
  <si>
    <t>Différence d’âge (atteint) du couple</t>
  </si>
  <si>
    <t>Différence d’âge (révolu) du couple</t>
  </si>
  <si>
    <t>Age en années révolues de l’enfant 1</t>
  </si>
  <si>
    <t>Age en mois révolus de l’enfant 1</t>
  </si>
  <si>
    <t>Age en années révolues de l’enfant 2</t>
  </si>
  <si>
    <t>Age en mois révolus de l’enfant 2</t>
  </si>
  <si>
    <t>Age en années révolues de l’enfant 3</t>
  </si>
  <si>
    <t>Age en mois révolus de l’enfant 3</t>
  </si>
  <si>
    <t>Age en années révolues de l’enfant 4</t>
  </si>
  <si>
    <t>Age en mois révolus de l’enfant 4</t>
  </si>
  <si>
    <t>Personne de référence: Statut de séjour</t>
  </si>
  <si>
    <t>Personne de référence: Commune de domicile</t>
  </si>
  <si>
    <t>Personne de référence: Canton de domicile</t>
  </si>
  <si>
    <t>1972-85</t>
  </si>
  <si>
    <t>1972-83</t>
  </si>
  <si>
    <t>1969-1998</t>
  </si>
  <si>
    <t>https://www.bfs.admin.ch/bfs/fr/home/bases-statistiques/agvch.html
https://www.bfs.admin.ch/bfs/fr/home/bases-statistiques/stgb.html</t>
  </si>
  <si>
    <t>18 - 120
999</t>
  </si>
  <si>
    <t>0 - 8
9</t>
  </si>
  <si>
    <t xml:space="preserve">1
2
3
4
9
</t>
  </si>
  <si>
    <t xml:space="preserve">5
6
7
8
9
</t>
  </si>
  <si>
    <t>0
1
2
3
4
5
6
7
8
9</t>
  </si>
  <si>
    <t>indépendant
collaborateur familial
directeur/-trice, fondée de pouvoir, fonctionnaire ayant une fonction de chef
autre
inconnu</t>
  </si>
  <si>
    <t>0 - 80</t>
  </si>
  <si>
    <t>0 - 216</t>
  </si>
  <si>
    <t xml:space="preserve">
1
1
2
9
1
.</t>
  </si>
  <si>
    <t>Commune selon la liste des nomenclatures OFS</t>
  </si>
  <si>
    <t xml:space="preserve">
1
1
2
9</t>
  </si>
  <si>
    <t>KLAGE_D</t>
  </si>
  <si>
    <t>URTEILJAHR_N</t>
  </si>
  <si>
    <t>TRAUORT_EST|ST_AKT_N</t>
  </si>
  <si>
    <t>TRAUJAHR_N</t>
  </si>
  <si>
    <t>TRAU_D</t>
  </si>
  <si>
    <t>TRAU_DAT_FL_N</t>
  </si>
  <si>
    <t>EHE_DAUER_JA_ANNAEHERND_N</t>
  </si>
  <si>
    <t>EHE_DAUER_JA_ERFUELLT_N</t>
  </si>
  <si>
    <t>EHE_DAUER_MT_ANNAEHERND_N</t>
  </si>
  <si>
    <t>EHE_DAUER_MT_ERFUELLT_N</t>
  </si>
  <si>
    <t>M_ST_VDH_AKT_N</t>
  </si>
  <si>
    <t>M_ST_ZDU_AKT_N</t>
  </si>
  <si>
    <t>M_BERUF_PERSON_N</t>
  </si>
  <si>
    <t>M_BERUF_STELLUNG_N</t>
  </si>
  <si>
    <t>F_ST_VDH_AKT_N</t>
  </si>
  <si>
    <t>F_ST_ZDU_AKT_N</t>
  </si>
  <si>
    <t>F_BERUF_PERSON_N</t>
  </si>
  <si>
    <t>F_BERUF_STELLUNG_N</t>
  </si>
  <si>
    <t>F_GEB_ST_AKT_N</t>
  </si>
  <si>
    <t>KLAGE_PARTEI_CD_N</t>
  </si>
  <si>
    <t>KLAGE_ART_CD_N</t>
  </si>
  <si>
    <t>URTEIL_CD_N</t>
  </si>
  <si>
    <t>DAUER_VORAN_TRENN_ANZ_N</t>
  </si>
  <si>
    <t>K_ZUGETEILT_ANZ_N</t>
  </si>
  <si>
    <t>K1_GEBORT_CD_N</t>
  </si>
  <si>
    <t>K1_GEB_JAHR_N</t>
  </si>
  <si>
    <t>K1_ALTER_JA_ANNAEHERND_N</t>
  </si>
  <si>
    <t>K1_ZUTEILUNG_CD_N</t>
  </si>
  <si>
    <t>K2_GEBORT_CD_N</t>
  </si>
  <si>
    <t>K2_GEB_JAHR_N</t>
  </si>
  <si>
    <t>K2_ALTER_JA_ANNAEHERND_N</t>
  </si>
  <si>
    <t>K2_ZUTEILUNG_CD_N</t>
  </si>
  <si>
    <t>K3_GEBORT_CD_N</t>
  </si>
  <si>
    <t>K3_GEB_JAHR_N</t>
  </si>
  <si>
    <t>K3_ALTER_JA_ANNAEHERND_N</t>
  </si>
  <si>
    <t>K3_ZUTEILUNG_CD_N</t>
  </si>
  <si>
    <t>K4_GEBORT_CD_N</t>
  </si>
  <si>
    <t>K4_GEB_JAHR_N</t>
  </si>
  <si>
    <t>K4_ALTER_JA_ANNAEHERND_N</t>
  </si>
  <si>
    <t>K4_ZUTEILUNG_CD_N</t>
  </si>
  <si>
    <t>K5_GEBORT_CD_N</t>
  </si>
  <si>
    <t>K5_GEB_JAHR_N</t>
  </si>
  <si>
    <t>K5_GEB_D</t>
  </si>
  <si>
    <t>K5_ALTER_JA_ANNAEHERND_N</t>
  </si>
  <si>
    <t>K5_ALTER_JA_ERFUELLT_N</t>
  </si>
  <si>
    <t>K5_ALTER_MT_ERFUELLT_N</t>
  </si>
  <si>
    <t>K5_ZUTEILUNG_CD_N</t>
  </si>
  <si>
    <t>K6_GEBORT_CD_N</t>
  </si>
  <si>
    <t>K6_GEB_JAHR_N</t>
  </si>
  <si>
    <t>K6_GEB_D</t>
  </si>
  <si>
    <t>K6_ALTER_JA_ANNAEHERND_N</t>
  </si>
  <si>
    <t>K6_ALTER_JA_ERFUELLT_N</t>
  </si>
  <si>
    <t>K6_ALTER_MT_ERFUELLT_N</t>
  </si>
  <si>
    <t>K6_ZUTEILUNG_CD_N</t>
  </si>
  <si>
    <t>UGRUND_CD_N</t>
  </si>
  <si>
    <t>Divorce compté ou non dans la statistique officielle </t>
  </si>
  <si>
    <t>Date de l'introduction de l'action</t>
  </si>
  <si>
    <t>Année de l'entrée en vigueur du  jugement</t>
  </si>
  <si>
    <t>Commune de domicile de la personne de référence</t>
  </si>
  <si>
    <t>Personne de référence : canton de domicile</t>
  </si>
  <si>
    <t>Lieu du mariage (Suisse / Etranger)</t>
  </si>
  <si>
    <t>Année du mariage</t>
  </si>
  <si>
    <t>Durée du mariage en années révolues</t>
  </si>
  <si>
    <t>Durée du mariage en mois atteints (au cours du mois)</t>
  </si>
  <si>
    <t>Durée du mariage en mois révolus</t>
  </si>
  <si>
    <t>Âge du mari au moment du divorce en années atteintes (au cours de l'année)</t>
  </si>
  <si>
    <t>Âge du mari en années révolues</t>
  </si>
  <si>
    <t>Etat civil de l'homme avant le mariage</t>
  </si>
  <si>
    <t>Nationalité de l'homme avant le mariage</t>
  </si>
  <si>
    <t>Nationalité de l'homme au moment du divorce</t>
  </si>
  <si>
    <t>Profession de l'homme</t>
  </si>
  <si>
    <t>Position professionnelle de l‘homme</t>
  </si>
  <si>
    <t>Mari: Pays de naissance</t>
  </si>
  <si>
    <t>Âge de la femme au moment du divorce (âge atteint au cours de l'année)</t>
  </si>
  <si>
    <t>Âge de la femme en années révolues</t>
  </si>
  <si>
    <t>Etat civil de la femme avant le mariage</t>
  </si>
  <si>
    <t>Nationalité de la femme avant le mariage</t>
  </si>
  <si>
    <t>Nationalité de la femme au moment du divorce</t>
  </si>
  <si>
    <t>Profession de la femme</t>
  </si>
  <si>
    <t>Position professionnelle de la femme</t>
  </si>
  <si>
    <t>Femme: Pays de naissance</t>
  </si>
  <si>
    <t>Partie plaignante</t>
  </si>
  <si>
    <t>Type de plainte</t>
  </si>
  <si>
    <t>Type de jugement</t>
  </si>
  <si>
    <t>Durée de la séparation qui a précédé le divorce</t>
  </si>
  <si>
    <t xml:space="preserve">Nombre d'enfants mineurs (au delà de 6 enfants, pas d'indication) </t>
  </si>
  <si>
    <t>Lieu de naissance du 1er enfant mineur</t>
  </si>
  <si>
    <t>Année de naissance du 1er enfant mineur</t>
  </si>
  <si>
    <t>Date de naissance du 1er enfant mineur</t>
  </si>
  <si>
    <t>Âge du 1er enfant mineur en années atteintes (au cours de l'année)</t>
  </si>
  <si>
    <t>Âge du 1er enfant mineur en années révolues</t>
  </si>
  <si>
    <t>Âge du 1er enfant mineur en mois révolus</t>
  </si>
  <si>
    <t>Attribution de l'autorité parentale du 1er enfant mineur</t>
  </si>
  <si>
    <t>Lieu de naissance du 2ème enfant mineur</t>
  </si>
  <si>
    <t>Date de naissance du 2ème enfant mineur</t>
  </si>
  <si>
    <t xml:space="preserve">Âge du 2ème enfant mineur en années atteintes (au cours de l'année) </t>
  </si>
  <si>
    <t>Âge du 2ème enfant mineur en années révolues</t>
  </si>
  <si>
    <t>Âge du 2ème enfant mineur en mois révolus</t>
  </si>
  <si>
    <t>Attribution de l'autorité parentale du 2ème enfant mineur</t>
  </si>
  <si>
    <t>Lieu de naissance du 3ème  enfant mineur</t>
  </si>
  <si>
    <t>Date de naissance du 3ème enfant mineur</t>
  </si>
  <si>
    <t>Âge du 3ème enfant mineur en années atteintes (au cours de l'année)</t>
  </si>
  <si>
    <t>Âge du 3ème enfant mineur en années révolues</t>
  </si>
  <si>
    <t>Âge du 3ème enfant mineur en mois révolus</t>
  </si>
  <si>
    <t>Attribution de l'autorité parentale du 3ème enfant mineur</t>
  </si>
  <si>
    <t>Lieu de naissance du 4ème  enfant mineur</t>
  </si>
  <si>
    <t>Date de naissance du 4ème enfant mineur</t>
  </si>
  <si>
    <t>Âge du 4ème enfant mineur en années atteintes (au cours de l'année)</t>
  </si>
  <si>
    <t>Âge du 4ème enfant mineur en années révolues</t>
  </si>
  <si>
    <t>Âge du 4ème enfant mineur en mois révolus</t>
  </si>
  <si>
    <t>Attribution de l'autorité parentale du 4ème enfant mineur</t>
  </si>
  <si>
    <t>Lieu de naissance du 5ème  enfant mineur</t>
  </si>
  <si>
    <t>Date de naissance du 5ème enfant mineur</t>
  </si>
  <si>
    <t>Âge du 5ème enfant mineur en années atteintes (au cours de l'année)</t>
  </si>
  <si>
    <t>Âge du 5ème enfant mineur en années révolues</t>
  </si>
  <si>
    <t>Âge du 5ème enfant mineur en mois révolus</t>
  </si>
  <si>
    <t>Attribution de l'autorité parentale du 5ème enfant mineur</t>
  </si>
  <si>
    <t>Lieu de naissance du 6ème  enfant mineur</t>
  </si>
  <si>
    <t>Date de naissance du 6ème enfant mineur</t>
  </si>
  <si>
    <t>Âge du 6ème enfant mineur en années atteintes (au cours de l'année)</t>
  </si>
  <si>
    <t>Âge du 6ème enfant mineur en années révolues</t>
  </si>
  <si>
    <t>Âge du 6ème enfant mineur en mois révolus</t>
  </si>
  <si>
    <t>Attribution de l'autorité parentale du 6ème enfant mineur</t>
  </si>
  <si>
    <t>Total d'enfants nés vivants du mariage (y c. les enfants adoptés et ceux conçus en commun avant le mariage, dès 2011 max. 6)</t>
  </si>
  <si>
    <t>00
01 - 99</t>
  </si>
  <si>
    <t>00 - 60
61
000 - 999</t>
  </si>
  <si>
    <t xml:space="preserve">
1
2
3
4
5
6
1
2
6</t>
  </si>
  <si>
    <t>00
01 - 05
06
99</t>
  </si>
  <si>
    <t>1
2
9</t>
  </si>
  <si>
    <t>00
01-20</t>
  </si>
  <si>
    <t>0 - 12</t>
  </si>
  <si>
    <t>00 - 20
99</t>
  </si>
  <si>
    <t>Cause du divorce/ de la séparation (Code civil) Article 111, 112, 114, 115</t>
  </si>
  <si>
    <t>1984-2010</t>
  </si>
  <si>
    <t>1969-83</t>
  </si>
  <si>
    <t>Durée du mariage en années atteintes</t>
  </si>
  <si>
    <t>Durée du mariage en mois atteints</t>
  </si>
  <si>
    <t>1969-1983</t>
  </si>
  <si>
    <t>1969-2010</t>
  </si>
  <si>
    <t>1984-97</t>
  </si>
  <si>
    <t>2000-2010</t>
  </si>
  <si>
    <t>GEBURT_D</t>
  </si>
  <si>
    <t>HEIRAT_JAHR_N</t>
  </si>
  <si>
    <t>HEIRAT_D</t>
  </si>
  <si>
    <t>SCHEIDUNG_D</t>
  </si>
  <si>
    <t>EHE_GEBURT_JAHR_N</t>
  </si>
  <si>
    <t>EHE_GEBURT_D</t>
  </si>
  <si>
    <t>HST_ST_AKT_N</t>
  </si>
  <si>
    <t>P_ZST_CD_N</t>
  </si>
  <si>
    <t>HST_ST_EHE_CD_N</t>
  </si>
  <si>
    <t>WORT_AKT_GEM|ST_N</t>
  </si>
  <si>
    <t>GEB_ST_AKT_N</t>
  </si>
  <si>
    <t>GEBURT_STD_N</t>
  </si>
  <si>
    <t>P_ALTER_ERFUELLT_N</t>
  </si>
  <si>
    <t>EHEDAUER_JA_ANNAEHERND_N</t>
  </si>
  <si>
    <t>EHEDAUER_MT_ANNAEHERND_N</t>
  </si>
  <si>
    <t>SCHEIDUNG_DAUER_JA_ANNAEHER_N</t>
  </si>
  <si>
    <t>SCHEIDUNG_DAUER_JA_ERFUELLT_N</t>
  </si>
  <si>
    <t>SCHEIDUNG_DAUER_MT_ERFUELLT_N</t>
  </si>
  <si>
    <t>EHE_ALTER_JA_ANNAEHERND_N</t>
  </si>
  <si>
    <t>EHE_ALTER_ERFUELLT_N</t>
  </si>
  <si>
    <t>ALTER_STD_ERFUELLT_N</t>
  </si>
  <si>
    <t>ALTER_TAG_ERFUELLT_N</t>
  </si>
  <si>
    <t>ALTER_MONAT_ERFUELLT_N</t>
  </si>
  <si>
    <t>BERUF_STE_CD_N</t>
  </si>
  <si>
    <t>GEBURT_DAT_FL_N</t>
  </si>
  <si>
    <t>HEIRAT_D_FL_N</t>
  </si>
  <si>
    <t>SCHEIDUNG_DAT_FL_N</t>
  </si>
  <si>
    <t>EHE_GEBURT_D_FL_N</t>
  </si>
  <si>
    <t>EREIGNIS_STD_FL_N</t>
  </si>
  <si>
    <t>P_ZST_CD_FL_N</t>
  </si>
  <si>
    <t>P_ALTER_JA_ANNAEHERND_N</t>
  </si>
  <si>
    <t>Décès comptée ou non dans la statistique officielle</t>
  </si>
  <si>
    <t>1e enfant mineur: Date de naissance</t>
  </si>
  <si>
    <t>2e enfant mineur: Date de naissance</t>
  </si>
  <si>
    <t>3e enfant mineur: Date de naissance</t>
  </si>
  <si>
    <t>4e enfant mineur: Date de naissance</t>
  </si>
  <si>
    <t>Pays du décès</t>
  </si>
  <si>
    <t>Personne décédée : commune de domicile ou Etat</t>
  </si>
  <si>
    <t>Personne décédée: pays de naissance</t>
  </si>
  <si>
    <t>Heure du décès</t>
  </si>
  <si>
    <t>Heure de naissance (personne décédée &lt; 1 mois)</t>
  </si>
  <si>
    <t>Durée du divorce/veuvage en années atteintes</t>
  </si>
  <si>
    <t>Durée du divorce/veuvage en années révolues</t>
  </si>
  <si>
    <t>Durée du divorce/veuvage en mois révolus</t>
  </si>
  <si>
    <t>Flag: Date du décès</t>
  </si>
  <si>
    <t>Flag: Date de mariage</t>
  </si>
  <si>
    <t>Flag: Date de naissance du conjoint</t>
  </si>
  <si>
    <t>Flag: Heure de décès</t>
  </si>
  <si>
    <t>Flag: Sexe de la personne décédée</t>
  </si>
  <si>
    <t>Flag: Etat civil de la mère</t>
  </si>
  <si>
    <t xml:space="preserve">1ère circonstance (maladie initiale) </t>
  </si>
  <si>
    <t xml:space="preserve">2e circonstance (maladie initiale) </t>
  </si>
  <si>
    <t xml:space="preserve">3e circonstance (maladie initiale) </t>
  </si>
  <si>
    <t>Causes agrégées du décès, liste B</t>
  </si>
  <si>
    <t>Causes agrégées du décès, liste A</t>
  </si>
  <si>
    <t>Causes agrégées du décès, liste P</t>
  </si>
  <si>
    <t>Liste des causes de décès TU</t>
  </si>
  <si>
    <t>Les causes de décès ont été confirmées par autopsie</t>
  </si>
  <si>
    <t>Résultat de l'autopsie</t>
  </si>
  <si>
    <t>Maladies initiales 1A</t>
  </si>
  <si>
    <t>Maladies consécutives 1B</t>
  </si>
  <si>
    <t>Maladies concomitantes 2A</t>
  </si>
  <si>
    <t>Maladies concomitantes 2B</t>
  </si>
  <si>
    <t>Cause primaire définitive</t>
  </si>
  <si>
    <t>Date de l’accident</t>
  </si>
  <si>
    <t>Lieu du décès</t>
  </si>
  <si>
    <t>1969-94</t>
  </si>
  <si>
    <t>1969-87</t>
  </si>
  <si>
    <t>1987-94</t>
  </si>
  <si>
    <t>1969-1986</t>
  </si>
  <si>
    <t>1979-97</t>
  </si>
  <si>
    <t>1987-97</t>
  </si>
  <si>
    <t>suisse, bourgeois de la commune de domicile
suisse, non bourgeois de la commune de domicile
étranger ou apatride</t>
  </si>
  <si>
    <t>0 -100</t>
  </si>
  <si>
    <t>1
1
2
3
4
9</t>
  </si>
  <si>
    <t>Mortinaissance</t>
  </si>
  <si>
    <t>Heure de la naissance</t>
  </si>
  <si>
    <t>Sexe de l'enfant</t>
  </si>
  <si>
    <t>Nombre de filles en cas de naissance multiple</t>
  </si>
  <si>
    <t xml:space="preserve">Poids en grammes </t>
  </si>
  <si>
    <t>Etat où le mariage a été enregistré</t>
  </si>
  <si>
    <t>Survie lors d'une naissance multiple</t>
  </si>
  <si>
    <t>Flag Sexe de l’enfant</t>
  </si>
  <si>
    <t>Flag Type de naissance</t>
  </si>
  <si>
    <t>Domicile permanent ou non</t>
  </si>
  <si>
    <t>Cause initiale définitive</t>
  </si>
  <si>
    <t>Autopsie pratiquée</t>
  </si>
  <si>
    <t>Code maladie concomitante</t>
  </si>
  <si>
    <t>Maladie concomitante, détail</t>
  </si>
  <si>
    <t>Causes agrégées de décès, liste B</t>
  </si>
  <si>
    <t>Causes agrégées de décès, liste A</t>
  </si>
  <si>
    <t>Causes agrégées de décès, liste P</t>
  </si>
  <si>
    <t>1979-1986</t>
  </si>
  <si>
    <t>1969-79</t>
  </si>
  <si>
    <t>1980-94</t>
  </si>
  <si>
    <t>STATPOP_effectif
STATPOP_ménages</t>
  </si>
  <si>
    <t>sncid</t>
  </si>
  <si>
    <t>Enquête par téléphone</t>
  </si>
  <si>
    <t>Enquête par écrit</t>
  </si>
  <si>
    <t>1969-2009</t>
  </si>
  <si>
    <t> info.dem@bfs.admin.ch</t>
  </si>
  <si>
    <t>à partir de 2010</t>
  </si>
  <si>
    <t>Statistique des bâtiments et logements</t>
  </si>
  <si>
    <t>à partir de 2010
à partir de 2012</t>
  </si>
  <si>
    <t>à partir de 2011</t>
  </si>
  <si>
    <t>Demande de données individuelles (standard)</t>
  </si>
  <si>
    <t>Année(s) demandées (si nécessaire)</t>
  </si>
  <si>
    <t>Contact</t>
  </si>
  <si>
    <t>info.dem@bfs.admin.ch</t>
  </si>
  <si>
    <t>info.pop@bfs.admin.ch</t>
  </si>
  <si>
    <t>info.gws@bfs.admin.ch</t>
  </si>
  <si>
    <t>Demande de fichiers avant 2010 ou de l'extrait SNC (liste ci-dessus) avec d'autres fichiers (OFS ou sources tierces) se fait via une demande d'appariement (https://www.bfs.admin.ch/bfs/fr/home/services/appariement-donnees/pour-compte-tiers.html)</t>
  </si>
  <si>
    <t>Fichier(s) demandé(s) (X)</t>
  </si>
  <si>
    <t>Disponible en ligne pour un aperçu</t>
  </si>
  <si>
    <t>Variables</t>
  </si>
  <si>
    <t>Format</t>
  </si>
  <si>
    <t>IDNO</t>
  </si>
  <si>
    <t>NOMBRE</t>
  </si>
  <si>
    <t>ALTER</t>
  </si>
  <si>
    <t>GEBJAHR</t>
  </si>
  <si>
    <t>INTTAG</t>
  </si>
  <si>
    <t>INTMONAT</t>
  </si>
  <si>
    <t>INTJAHR</t>
  </si>
  <si>
    <t>TKONT03</t>
  </si>
  <si>
    <t>TINAN05b</t>
  </si>
  <si>
    <t>Dernière consultation médicale : mois</t>
  </si>
  <si>
    <t>TINAN05c</t>
  </si>
  <si>
    <t>Dernière consultation médicale : année</t>
  </si>
  <si>
    <t>TALKO18</t>
  </si>
  <si>
    <t>Alcool : conduite après consommation d'alcool (nb de verres)</t>
  </si>
  <si>
    <t>TTAKO09</t>
  </si>
  <si>
    <t>TARSI04</t>
  </si>
  <si>
    <t>TARSI11</t>
  </si>
  <si>
    <t>THIBE01b</t>
  </si>
  <si>
    <t>THIBE03</t>
  </si>
  <si>
    <t>TGEZU01</t>
  </si>
  <si>
    <t>Taille (cm)</t>
  </si>
  <si>
    <t>TGEZU02</t>
  </si>
  <si>
    <t>Poids corporel (kg)</t>
  </si>
  <si>
    <t>TKOBW02</t>
  </si>
  <si>
    <t>TBLUT04b</t>
  </si>
  <si>
    <t>TBLUT04c</t>
  </si>
  <si>
    <t>TBLUT05b</t>
  </si>
  <si>
    <t>TBLUT05c</t>
  </si>
  <si>
    <t>TCHOL01b</t>
  </si>
  <si>
    <t>TCHOL01c</t>
  </si>
  <si>
    <t>TKREB02c</t>
  </si>
  <si>
    <t>TKREB04c</t>
  </si>
  <si>
    <t>TKREB06c</t>
  </si>
  <si>
    <t>TKREB08c</t>
  </si>
  <si>
    <t>TSODE07</t>
  </si>
  <si>
    <t>TSODE08</t>
  </si>
  <si>
    <t>TSOUN07</t>
  </si>
  <si>
    <t>TDROG03</t>
  </si>
  <si>
    <t>TDROG09</t>
  </si>
  <si>
    <t>TDROG15</t>
  </si>
  <si>
    <t>TDROG21</t>
  </si>
  <si>
    <t>TDROG27</t>
  </si>
  <si>
    <t>TDROG33</t>
  </si>
  <si>
    <t>TDROG39</t>
  </si>
  <si>
    <t>TDROG45</t>
  </si>
  <si>
    <t>WELLE</t>
  </si>
  <si>
    <t>WGHT</t>
  </si>
  <si>
    <t>INTSPRACH</t>
  </si>
  <si>
    <t>LANG</t>
  </si>
  <si>
    <t>INTTYP</t>
  </si>
  <si>
    <t>TYPE</t>
  </si>
  <si>
    <t>TYPSAMP</t>
  </si>
  <si>
    <t>SEX</t>
  </si>
  <si>
    <t>TSUBG01</t>
  </si>
  <si>
    <t>SUBGES</t>
  </si>
  <si>
    <t>%codes_negatifs;</t>
  </si>
  <si>
    <t>TSUBG02</t>
  </si>
  <si>
    <t>SANTACT</t>
  </si>
  <si>
    <t>TKRSY01</t>
  </si>
  <si>
    <t>PASDTOU</t>
  </si>
  <si>
    <t>TKRSY02</t>
  </si>
  <si>
    <t>TKRSY03</t>
  </si>
  <si>
    <t>TKRSY04</t>
  </si>
  <si>
    <t>TKRSY05</t>
  </si>
  <si>
    <t>TKRSY06</t>
  </si>
  <si>
    <t>TKRSY07</t>
  </si>
  <si>
    <t>TKRSY08</t>
  </si>
  <si>
    <t>TKRSY09</t>
  </si>
  <si>
    <t>TKRSY23</t>
  </si>
  <si>
    <t>TKRSY10</t>
  </si>
  <si>
    <t>OUINON</t>
  </si>
  <si>
    <t>TKRSY11</t>
  </si>
  <si>
    <t>TKRSY13</t>
  </si>
  <si>
    <t>TKRSY15</t>
  </si>
  <si>
    <t>TKRSY17</t>
  </si>
  <si>
    <t>TKRSY18</t>
  </si>
  <si>
    <t>TKRSY19</t>
  </si>
  <si>
    <t>TKRSY20</t>
  </si>
  <si>
    <t>TKRSY21</t>
  </si>
  <si>
    <t>TKRSY22</t>
  </si>
  <si>
    <t>TTAKO01</t>
  </si>
  <si>
    <t>TTAKO02a</t>
  </si>
  <si>
    <t>TTAKO02b</t>
  </si>
  <si>
    <t>TTAKO02c</t>
  </si>
  <si>
    <t>TTAKO02d</t>
  </si>
  <si>
    <t>TTAKO07</t>
  </si>
  <si>
    <t>TTAKO12</t>
  </si>
  <si>
    <t>TARSI02</t>
  </si>
  <si>
    <t>TARSI05</t>
  </si>
  <si>
    <t>TARSI06</t>
  </si>
  <si>
    <t>TARSI07</t>
  </si>
  <si>
    <t>TARSI08</t>
  </si>
  <si>
    <t>TINAN01</t>
  </si>
  <si>
    <t>TINAN08</t>
  </si>
  <si>
    <t>TMEKO01</t>
  </si>
  <si>
    <t>TALKO17</t>
  </si>
  <si>
    <t>Conduite d'une voiture</t>
  </si>
  <si>
    <t>THIBE01a</t>
  </si>
  <si>
    <t>THIBE04a</t>
  </si>
  <si>
    <t>THIBE04b</t>
  </si>
  <si>
    <t>THIBE04c</t>
  </si>
  <si>
    <t>THIBE04d</t>
  </si>
  <si>
    <t>THIBE04e</t>
  </si>
  <si>
    <t>THIBE04f</t>
  </si>
  <si>
    <t>THIBE04g</t>
  </si>
  <si>
    <t>THIBE05</t>
  </si>
  <si>
    <t>THIBE06a</t>
  </si>
  <si>
    <t>THIBE06b</t>
  </si>
  <si>
    <t>THIBE06c</t>
  </si>
  <si>
    <t>THIBE06d</t>
  </si>
  <si>
    <t>THIBE06e</t>
  </si>
  <si>
    <t>THIBE06f</t>
  </si>
  <si>
    <t>THIBE06g</t>
  </si>
  <si>
    <t>THIBE07</t>
  </si>
  <si>
    <t>THIBE08</t>
  </si>
  <si>
    <t>TSOSI07</t>
  </si>
  <si>
    <t>TUBHD01</t>
  </si>
  <si>
    <t>TWOVE03</t>
  </si>
  <si>
    <t>TWOVE04</t>
  </si>
  <si>
    <t>TWOVE05</t>
  </si>
  <si>
    <t>TSOUN02</t>
  </si>
  <si>
    <t>TSOUN06</t>
  </si>
  <si>
    <t>TKOBW01</t>
  </si>
  <si>
    <t>TBLUT02</t>
  </si>
  <si>
    <t>TBLUT03</t>
  </si>
  <si>
    <t>TCHOL03</t>
  </si>
  <si>
    <t>Cholestérol : médicaments</t>
  </si>
  <si>
    <t>TCHOL04</t>
  </si>
  <si>
    <t>TSBHD01</t>
  </si>
  <si>
    <t>TSBHD04a</t>
  </si>
  <si>
    <t>TSBHD04b</t>
  </si>
  <si>
    <t>TSBHD04c</t>
  </si>
  <si>
    <t>TSBHD04d</t>
  </si>
  <si>
    <t>TSBHD04e</t>
  </si>
  <si>
    <t>TSBHD04f</t>
  </si>
  <si>
    <t>TSBHD04g</t>
  </si>
  <si>
    <t>TSBHD04h</t>
  </si>
  <si>
    <t>TSBHD04i</t>
  </si>
  <si>
    <t>TSBHD05</t>
  </si>
  <si>
    <t>TSBHD06a</t>
  </si>
  <si>
    <t>TSBHD06b</t>
  </si>
  <si>
    <t>TSBHD06c</t>
  </si>
  <si>
    <t>TSBHD06d</t>
  </si>
  <si>
    <t>TSBHD06e</t>
  </si>
  <si>
    <t>TSBHD06f</t>
  </si>
  <si>
    <t>TSBHD06g</t>
  </si>
  <si>
    <t>TSBHD06h</t>
  </si>
  <si>
    <t>TSBHD06i</t>
  </si>
  <si>
    <t>THBHD01</t>
  </si>
  <si>
    <t>THBHD03a</t>
  </si>
  <si>
    <t>THBHD03b</t>
  </si>
  <si>
    <t>THBHD03c</t>
  </si>
  <si>
    <t>THBHD03d</t>
  </si>
  <si>
    <t>THBHD03e</t>
  </si>
  <si>
    <t>THBHD03f</t>
  </si>
  <si>
    <t>THBHD03g</t>
  </si>
  <si>
    <t>THBHD03h</t>
  </si>
  <si>
    <t>THBHD04</t>
  </si>
  <si>
    <t>THBHD05a</t>
  </si>
  <si>
    <t>THBHD05b</t>
  </si>
  <si>
    <t>THBHD05c</t>
  </si>
  <si>
    <t>THBHD05d</t>
  </si>
  <si>
    <t>THBHD05e</t>
  </si>
  <si>
    <t>THBHD05f</t>
  </si>
  <si>
    <t>THBHD05g</t>
  </si>
  <si>
    <t>THBHD05h</t>
  </si>
  <si>
    <t>TBBHD02</t>
  </si>
  <si>
    <t>TBBHD04a</t>
  </si>
  <si>
    <t>TBBHD04b</t>
  </si>
  <si>
    <t>TBBHD04c</t>
  </si>
  <si>
    <t>TBBHD04d</t>
  </si>
  <si>
    <t>TBBHD04e</t>
  </si>
  <si>
    <t>TBBHD04f</t>
  </si>
  <si>
    <t>TBBHD04g</t>
  </si>
  <si>
    <t>TBBHD05</t>
  </si>
  <si>
    <t>TBBHD06a</t>
  </si>
  <si>
    <t>TBBHD06b</t>
  </si>
  <si>
    <t>TBBHD06c</t>
  </si>
  <si>
    <t>TBBHD06d</t>
  </si>
  <si>
    <t>TBBHD06e</t>
  </si>
  <si>
    <t>TBBHD06f</t>
  </si>
  <si>
    <t>TBBHD06g</t>
  </si>
  <si>
    <t>TKREB01</t>
  </si>
  <si>
    <t>TKREB03</t>
  </si>
  <si>
    <t>TKREB05</t>
  </si>
  <si>
    <t>TKREB07</t>
  </si>
  <si>
    <t>TSODE04</t>
  </si>
  <si>
    <t>TSODE06</t>
  </si>
  <si>
    <t>TALTP01</t>
  </si>
  <si>
    <t>TALTP03</t>
  </si>
  <si>
    <t>TALTP04</t>
  </si>
  <si>
    <t>TALTP05</t>
  </si>
  <si>
    <t>TUBHD03a</t>
  </si>
  <si>
    <t>TUBHD03b</t>
  </si>
  <si>
    <t>TUBHD03c</t>
  </si>
  <si>
    <t>TUBHD03d</t>
  </si>
  <si>
    <t>TUBHD04</t>
  </si>
  <si>
    <t>TINAN12a</t>
  </si>
  <si>
    <t>TINAN12b</t>
  </si>
  <si>
    <t>TINAN12c</t>
  </si>
  <si>
    <t>TINAN12d</t>
  </si>
  <si>
    <t>TDROG01</t>
  </si>
  <si>
    <t>TDROG02</t>
  </si>
  <si>
    <t>TDROG04</t>
  </si>
  <si>
    <t>TDROG08</t>
  </si>
  <si>
    <t>TDROG10</t>
  </si>
  <si>
    <t>TDROG14</t>
  </si>
  <si>
    <t>TDROG16</t>
  </si>
  <si>
    <t>TDROG20</t>
  </si>
  <si>
    <t>TDROG22</t>
  </si>
  <si>
    <t>TDROG26</t>
  </si>
  <si>
    <t>TDROG28</t>
  </si>
  <si>
    <t>TDROG32</t>
  </si>
  <si>
    <t>TDROG34</t>
  </si>
  <si>
    <t>TDROG38</t>
  </si>
  <si>
    <t>TDROG40</t>
  </si>
  <si>
    <t>TDROG44</t>
  </si>
  <si>
    <t>TDROG46</t>
  </si>
  <si>
    <t>TKRSY12</t>
  </si>
  <si>
    <t>ARTICUL</t>
  </si>
  <si>
    <t>TKRSY14</t>
  </si>
  <si>
    <t>SAISON</t>
  </si>
  <si>
    <t>TKRSY16</t>
  </si>
  <si>
    <t>TZWBH01</t>
  </si>
  <si>
    <t>AUCUN</t>
  </si>
  <si>
    <t>TZWBH03</t>
  </si>
  <si>
    <t>TZWBH04</t>
  </si>
  <si>
    <t>TZWBH02</t>
  </si>
  <si>
    <t>MAL_ACC</t>
  </si>
  <si>
    <t>TINAN02</t>
  </si>
  <si>
    <t>JAMAIS</t>
  </si>
  <si>
    <t>TINAN03</t>
  </si>
  <si>
    <t>TINAN04</t>
  </si>
  <si>
    <t>TINAN10</t>
  </si>
  <si>
    <t>TINAN06</t>
  </si>
  <si>
    <t>FMHoffi</t>
  </si>
  <si>
    <t>TINAN07a</t>
  </si>
  <si>
    <t>$CIMDIX</t>
  </si>
  <si>
    <t>TINAN07b</t>
  </si>
  <si>
    <t>TINAN11a</t>
  </si>
  <si>
    <t>TINAN11b</t>
  </si>
  <si>
    <t>TINAN09</t>
  </si>
  <si>
    <t>PROBLEM</t>
  </si>
  <si>
    <t>TINAZ01</t>
  </si>
  <si>
    <t>CONTENT</t>
  </si>
  <si>
    <t>TINAZ02</t>
  </si>
  <si>
    <t>TMEKO02</t>
  </si>
  <si>
    <t>FREQSEM</t>
  </si>
  <si>
    <t>TMEKO04</t>
  </si>
  <si>
    <t>TMEKO06</t>
  </si>
  <si>
    <t>TMEKO08</t>
  </si>
  <si>
    <t>TMEKO10</t>
  </si>
  <si>
    <t>TMEKO12</t>
  </si>
  <si>
    <t>TMEKO14</t>
  </si>
  <si>
    <t>TMEKO16</t>
  </si>
  <si>
    <t>TMEKO18</t>
  </si>
  <si>
    <t>TMEKO20</t>
  </si>
  <si>
    <t>TMEKO22</t>
  </si>
  <si>
    <t>TMEKO24</t>
  </si>
  <si>
    <t>TMEKO03</t>
  </si>
  <si>
    <t>PRESCRI</t>
  </si>
  <si>
    <t>TMEKO05</t>
  </si>
  <si>
    <t>TMEKO07</t>
  </si>
  <si>
    <t>TMEKO09</t>
  </si>
  <si>
    <t>TMEKO11</t>
  </si>
  <si>
    <t>TMEKO13</t>
  </si>
  <si>
    <t>TMEKO15</t>
  </si>
  <si>
    <t>TMEKO17</t>
  </si>
  <si>
    <t>TMEKO19</t>
  </si>
  <si>
    <t>TMEKO21</t>
  </si>
  <si>
    <t>TMEKO23</t>
  </si>
  <si>
    <t>TMEKO25</t>
  </si>
  <si>
    <t>TERNA01</t>
  </si>
  <si>
    <t>ATTENTI</t>
  </si>
  <si>
    <t>TERNA02a</t>
  </si>
  <si>
    <t xml:space="preserve"> ALIMENT</t>
  </si>
  <si>
    <t>TERNA02b</t>
  </si>
  <si>
    <t>TERNA02c</t>
  </si>
  <si>
    <t>TERNA02d</t>
  </si>
  <si>
    <t>TERNA02e</t>
  </si>
  <si>
    <t>TERNA02f</t>
  </si>
  <si>
    <t>TERNA02g</t>
  </si>
  <si>
    <t>TERNA02h</t>
  </si>
  <si>
    <t>TERNA02i</t>
  </si>
  <si>
    <t>TERNA02j</t>
  </si>
  <si>
    <t>TERNA03</t>
  </si>
  <si>
    <t>J_SEM</t>
  </si>
  <si>
    <t>TERNA05</t>
  </si>
  <si>
    <t>TERNA06</t>
  </si>
  <si>
    <t>TERNA07</t>
  </si>
  <si>
    <t>TERNA08</t>
  </si>
  <si>
    <t>TERNA04</t>
  </si>
  <si>
    <t>VIANDE</t>
  </si>
  <si>
    <t>TALKO01</t>
  </si>
  <si>
    <t>FRE_ALC</t>
  </si>
  <si>
    <t>TTAKO03</t>
  </si>
  <si>
    <t>NB_TABAC</t>
  </si>
  <si>
    <t>TTAKO04</t>
  </si>
  <si>
    <t>TTAKO05</t>
  </si>
  <si>
    <t>TTAKO06</t>
  </si>
  <si>
    <t>TTAKO08</t>
  </si>
  <si>
    <t>ANNEE_TABAC</t>
  </si>
  <si>
    <t>TTAKO10</t>
  </si>
  <si>
    <t>ESSAI</t>
  </si>
  <si>
    <t>TTAKO11</t>
  </si>
  <si>
    <t>PENSER</t>
  </si>
  <si>
    <t>TTAKO13a</t>
  </si>
  <si>
    <t>NONFUME</t>
  </si>
  <si>
    <t>TTAKO13b</t>
  </si>
  <si>
    <t>TTAKO13c</t>
  </si>
  <si>
    <t>TTAKO13d</t>
  </si>
  <si>
    <t>TTAKO13e</t>
  </si>
  <si>
    <t>TARSI01</t>
  </si>
  <si>
    <t>TRAVAIL</t>
  </si>
  <si>
    <t>TARSI03</t>
  </si>
  <si>
    <t>FORMATI</t>
  </si>
  <si>
    <t>TARSI09</t>
  </si>
  <si>
    <t>IND_SAL</t>
  </si>
  <si>
    <t>TARSI10</t>
  </si>
  <si>
    <t>TYPEEMP</t>
  </si>
  <si>
    <t>SBN1990_NUM</t>
  </si>
  <si>
    <t>cf SDMX</t>
  </si>
  <si>
    <t>SBN_90_BERUFSART</t>
  </si>
  <si>
    <t>sbn1990_text_d</t>
  </si>
  <si>
    <t>Texte</t>
  </si>
  <si>
    <t>sbn1990_text_f</t>
  </si>
  <si>
    <t>sbn1990_text_i</t>
  </si>
  <si>
    <t>TWOVE01</t>
  </si>
  <si>
    <t>N_PIECE</t>
  </si>
  <si>
    <t>TSODE01</t>
  </si>
  <si>
    <t>AUCUNE</t>
  </si>
  <si>
    <t>TSOSI01</t>
  </si>
  <si>
    <t>CAISMAL</t>
  </si>
  <si>
    <t>TSOSI02</t>
  </si>
  <si>
    <t>DEPUISQ</t>
  </si>
  <si>
    <t>TSOSI03a</t>
  </si>
  <si>
    <t>ASSMALA</t>
  </si>
  <si>
    <t>TSOSI03b</t>
  </si>
  <si>
    <t>TSOSI03c</t>
  </si>
  <si>
    <t>TSOSI03d</t>
  </si>
  <si>
    <t>TSOSI03e</t>
  </si>
  <si>
    <t>TSOSI04</t>
  </si>
  <si>
    <t>ASSURAN</t>
  </si>
  <si>
    <t>TSOSI05</t>
  </si>
  <si>
    <t>DIVISIO</t>
  </si>
  <si>
    <t>TSOSI06a</t>
  </si>
  <si>
    <t>PRIMES</t>
  </si>
  <si>
    <t>TSOSI06b</t>
  </si>
  <si>
    <t>TSOSI06c</t>
  </si>
  <si>
    <t>TSOSI06d</t>
  </si>
  <si>
    <t>THIBE02a</t>
  </si>
  <si>
    <t>FAMIL</t>
  </si>
  <si>
    <t>THIBE02b</t>
  </si>
  <si>
    <t>THIBE02c</t>
  </si>
  <si>
    <t>THIBE02d</t>
  </si>
  <si>
    <t>THIBE02e</t>
  </si>
  <si>
    <t>TSOUN01</t>
  </si>
  <si>
    <t>SOUTIEN</t>
  </si>
  <si>
    <t>TSOUN03</t>
  </si>
  <si>
    <t>SOUTI_R</t>
  </si>
  <si>
    <t>TSOUN04</t>
  </si>
  <si>
    <t>TSOUN05</t>
  </si>
  <si>
    <t>NOMPERS</t>
  </si>
  <si>
    <t>TPSYG01</t>
  </si>
  <si>
    <t>NOMJOUR</t>
  </si>
  <si>
    <t>TPSYG02</t>
  </si>
  <si>
    <t>TPSYG03</t>
  </si>
  <si>
    <t>TPSYG04</t>
  </si>
  <si>
    <t>TBLUT01</t>
  </si>
  <si>
    <t>PRE_ART</t>
  </si>
  <si>
    <t>TBLUT04a</t>
  </si>
  <si>
    <t>BLU_CHO</t>
  </si>
  <si>
    <t>TCHOL01a</t>
  </si>
  <si>
    <t>TBLUT05a</t>
  </si>
  <si>
    <t>TENSION</t>
  </si>
  <si>
    <t>TCHOL02</t>
  </si>
  <si>
    <t>CHOLEST</t>
  </si>
  <si>
    <t>TSBHD02a</t>
  </si>
  <si>
    <t>LUNETTE</t>
  </si>
  <si>
    <t>TSBHD02b</t>
  </si>
  <si>
    <t>TSBHD02c</t>
  </si>
  <si>
    <t>TSBHD03</t>
  </si>
  <si>
    <t>SSDIFFI</t>
  </si>
  <si>
    <t>THBHD02</t>
  </si>
  <si>
    <t>TPBHD02</t>
  </si>
  <si>
    <t>TPBHD03</t>
  </si>
  <si>
    <t>TBBHD01</t>
  </si>
  <si>
    <t>TSBHD07a</t>
  </si>
  <si>
    <t>PETHAND</t>
  </si>
  <si>
    <t>TSBHD07b</t>
  </si>
  <si>
    <t>THBHD06a</t>
  </si>
  <si>
    <t>THBHD06b</t>
  </si>
  <si>
    <t>THBHD06c</t>
  </si>
  <si>
    <t>TPBHD01</t>
  </si>
  <si>
    <t>FAIRSEU</t>
  </si>
  <si>
    <t>TBBHD03</t>
  </si>
  <si>
    <t>MARCHER</t>
  </si>
  <si>
    <t>TGBHD01</t>
  </si>
  <si>
    <t>MALAD</t>
  </si>
  <si>
    <t>TUBHD02a</t>
  </si>
  <si>
    <t>SOINS</t>
  </si>
  <si>
    <t>TUBHD02b</t>
  </si>
  <si>
    <t>TUBHD05a</t>
  </si>
  <si>
    <t>PRESTAT</t>
  </si>
  <si>
    <t>TUBHD05b</t>
  </si>
  <si>
    <t>TUBHD05c</t>
  </si>
  <si>
    <t>TKREB02a</t>
  </si>
  <si>
    <t>PREVCAN</t>
  </si>
  <si>
    <t>TKREB04a</t>
  </si>
  <si>
    <t>TKREB06a</t>
  </si>
  <si>
    <t>TKREB08a</t>
  </si>
  <si>
    <t>TKREB09</t>
  </si>
  <si>
    <t>INFOS</t>
  </si>
  <si>
    <t>TKREB10</t>
  </si>
  <si>
    <t>SEINS_FREQ</t>
  </si>
  <si>
    <t>TSODE03</t>
  </si>
  <si>
    <t>ETA_CIV</t>
  </si>
  <si>
    <t>TSODE05a</t>
  </si>
  <si>
    <t>FAMILLE</t>
  </si>
  <si>
    <t>TSODE05b</t>
  </si>
  <si>
    <t>TSODE05c</t>
  </si>
  <si>
    <t>TSODE05d</t>
  </si>
  <si>
    <t>TSODE05e</t>
  </si>
  <si>
    <t>TSODE05f</t>
  </si>
  <si>
    <t>AUSBILD</t>
  </si>
  <si>
    <t>AUSBILD92</t>
  </si>
  <si>
    <t>TSODE16</t>
  </si>
  <si>
    <t>NATIONA</t>
  </si>
  <si>
    <t>TSODE17</t>
  </si>
  <si>
    <t>SALAIRE</t>
  </si>
  <si>
    <t>TSOUN08</t>
  </si>
  <si>
    <t>AUMOINS</t>
  </si>
  <si>
    <t>TWOVE02</t>
  </si>
  <si>
    <t>SAIPAS</t>
  </si>
  <si>
    <t>TALTP02</t>
  </si>
  <si>
    <t>FOIS</t>
  </si>
  <si>
    <t>TDROG05</t>
  </si>
  <si>
    <t>PERIODE</t>
  </si>
  <si>
    <t>TDROG11</t>
  </si>
  <si>
    <t>TDROG17</t>
  </si>
  <si>
    <t>TDROG23</t>
  </si>
  <si>
    <t>TDROG29</t>
  </si>
  <si>
    <t>TDROG35</t>
  </si>
  <si>
    <t>TDROG41</t>
  </si>
  <si>
    <t>TDROG47</t>
  </si>
  <si>
    <t>TDROG06</t>
  </si>
  <si>
    <t>DROGCON</t>
  </si>
  <si>
    <t>TDROG12</t>
  </si>
  <si>
    <t>TDROG18</t>
  </si>
  <si>
    <t>TDROG24</t>
  </si>
  <si>
    <t>TDROG30</t>
  </si>
  <si>
    <t>TDROG36</t>
  </si>
  <si>
    <t>TDROG42</t>
  </si>
  <si>
    <t>TDROG48</t>
  </si>
  <si>
    <t>TDROG07</t>
  </si>
  <si>
    <t>MOYENDR</t>
  </si>
  <si>
    <t>TDROG13</t>
  </si>
  <si>
    <t>TDROG19</t>
  </si>
  <si>
    <t>TDROG25</t>
  </si>
  <si>
    <t>TDROG31</t>
  </si>
  <si>
    <t>TDROG37</t>
  </si>
  <si>
    <t>TDROG43</t>
  </si>
  <si>
    <t>TDROG49</t>
  </si>
  <si>
    <t>TGEWI01</t>
  </si>
  <si>
    <t>DESTIN</t>
  </si>
  <si>
    <t>ALTER3</t>
  </si>
  <si>
    <t>ALTER4</t>
  </si>
  <si>
    <t>ALTER7</t>
  </si>
  <si>
    <t>KANTON</t>
  </si>
  <si>
    <t>KTAUFST</t>
  </si>
  <si>
    <t>NON_OUI</t>
  </si>
  <si>
    <t>PROXYGRU</t>
  </si>
  <si>
    <t>1="Interview possible en all., fr., it."</t>
  </si>
  <si>
    <t>POSINT</t>
  </si>
  <si>
    <t>2="Personne-cible ne parle ni all., fr., it."</t>
  </si>
  <si>
    <t>3="Personne trop âgée, malade,..."</t>
  </si>
  <si>
    <t>4="Personne absente pour longue période"</t>
  </si>
  <si>
    <t>5="Personne en formation militaire longue durée"</t>
  </si>
  <si>
    <t>6="Autre raison refus"</t>
  </si>
  <si>
    <t>TEL_SFB</t>
  </si>
  <si>
    <t>SALTER</t>
  </si>
  <si>
    <t xml:space="preserve"> NOMBRE</t>
  </si>
  <si>
    <t>SUNFA01b</t>
  </si>
  <si>
    <t>SUNFA02b</t>
  </si>
  <si>
    <t>SUNFA03b</t>
  </si>
  <si>
    <t>SUNFA04b</t>
  </si>
  <si>
    <t>SOPER01b</t>
  </si>
  <si>
    <t>SOPER02b</t>
  </si>
  <si>
    <t>SOPER03b</t>
  </si>
  <si>
    <t>SOPER04b</t>
  </si>
  <si>
    <t>SOPER05b</t>
  </si>
  <si>
    <t>SINAN01</t>
  </si>
  <si>
    <t>SINAN02</t>
  </si>
  <si>
    <t>SINAN03</t>
  </si>
  <si>
    <t>SINAN04</t>
  </si>
  <si>
    <t>SINAN05</t>
  </si>
  <si>
    <t>SINAN06</t>
  </si>
  <si>
    <t>SINAN07</t>
  </si>
  <si>
    <t>SINAN08</t>
  </si>
  <si>
    <t>SINAN13</t>
  </si>
  <si>
    <t>SINAN09a</t>
  </si>
  <si>
    <t>SINAN10A</t>
  </si>
  <si>
    <t>SINAN11A</t>
  </si>
  <si>
    <t>SINAN12A</t>
  </si>
  <si>
    <t>SZAHN02</t>
  </si>
  <si>
    <t>SMEKO02</t>
  </si>
  <si>
    <t>SSOSI02</t>
  </si>
  <si>
    <t>SSOSI04b</t>
  </si>
  <si>
    <t>SSOSI05b</t>
  </si>
  <si>
    <t>SHEPR07a</t>
  </si>
  <si>
    <t>SHEPR07b</t>
  </si>
  <si>
    <t>SHEPR07c</t>
  </si>
  <si>
    <t>SKIDNB</t>
  </si>
  <si>
    <t>SKIALTERa</t>
  </si>
  <si>
    <t>SKIALTERb</t>
  </si>
  <si>
    <t>SKIALTERc</t>
  </si>
  <si>
    <t>SKIGR01a</t>
  </si>
  <si>
    <t>SKIGR01b</t>
  </si>
  <si>
    <t>SKIGR01c</t>
  </si>
  <si>
    <t>SKIGW01a</t>
  </si>
  <si>
    <t>SKIGW01b</t>
  </si>
  <si>
    <t>SKIGW01c</t>
  </si>
  <si>
    <t>SKUNF01a</t>
  </si>
  <si>
    <t>SKUNF01b</t>
  </si>
  <si>
    <t>SKUNF01c</t>
  </si>
  <si>
    <t>SKUNF02a</t>
  </si>
  <si>
    <t>SKUNF02b</t>
  </si>
  <si>
    <t>SKUNF02c</t>
  </si>
  <si>
    <t>SKUNF03a</t>
  </si>
  <si>
    <t>SKUNF03b</t>
  </si>
  <si>
    <t>SKUNF03c</t>
  </si>
  <si>
    <t>SKUNF04a</t>
  </si>
  <si>
    <t>SKUNF04b</t>
  </si>
  <si>
    <t>SKUNF04c</t>
  </si>
  <si>
    <t>SKUNF05a</t>
  </si>
  <si>
    <t>SKUNF05b</t>
  </si>
  <si>
    <t>SKUNF05c</t>
  </si>
  <si>
    <t>TOTALUNFa</t>
  </si>
  <si>
    <t>TOTALUNFb</t>
  </si>
  <si>
    <t>TOTALUNFc</t>
  </si>
  <si>
    <t>WECRIT</t>
  </si>
  <si>
    <t>WECRITKT</t>
  </si>
  <si>
    <t>SSEX</t>
  </si>
  <si>
    <t>SGEBE01</t>
  </si>
  <si>
    <t>IMPORTA</t>
  </si>
  <si>
    <t>SPSYG01</t>
  </si>
  <si>
    <t>PSYCHIQ</t>
  </si>
  <si>
    <t>SPSYG02</t>
  </si>
  <si>
    <t>SPSYG03</t>
  </si>
  <si>
    <t>SPSYG04</t>
  </si>
  <si>
    <t>SKRAN01</t>
  </si>
  <si>
    <t>TRAITEM</t>
  </si>
  <si>
    <t>SKRAN02</t>
  </si>
  <si>
    <t>SKRAN03</t>
  </si>
  <si>
    <t>SKRAN04</t>
  </si>
  <si>
    <t>SKRAN05</t>
  </si>
  <si>
    <t>SKRAN06</t>
  </si>
  <si>
    <t>SKRAN07</t>
  </si>
  <si>
    <t>SKRAN08</t>
  </si>
  <si>
    <t>SKRAN09</t>
  </si>
  <si>
    <t>SKRAN10</t>
  </si>
  <si>
    <t>SKRAN11</t>
  </si>
  <si>
    <t>SKRAN12</t>
  </si>
  <si>
    <t>SKRAN13</t>
  </si>
  <si>
    <t>SUNFA01a</t>
  </si>
  <si>
    <t>SOIGNE</t>
  </si>
  <si>
    <t>SUNFA02a</t>
  </si>
  <si>
    <t>SUNFA03a</t>
  </si>
  <si>
    <t>SUNFA04a</t>
  </si>
  <si>
    <t>SOPER01a</t>
  </si>
  <si>
    <t>SOPER02a</t>
  </si>
  <si>
    <t>SOPER03a</t>
  </si>
  <si>
    <t>SOPER04a</t>
  </si>
  <si>
    <t>SOPER05a</t>
  </si>
  <si>
    <t>SINAN09b</t>
  </si>
  <si>
    <t>SINAN10b</t>
  </si>
  <si>
    <t>SINAN11b</t>
  </si>
  <si>
    <t>SINAN12b</t>
  </si>
  <si>
    <t>SZAHN01</t>
  </si>
  <si>
    <t>SZAHN03</t>
  </si>
  <si>
    <t>SZAHN04</t>
  </si>
  <si>
    <t>SZAHN05</t>
  </si>
  <si>
    <t>SZAHN06</t>
  </si>
  <si>
    <t>SZAHN07</t>
  </si>
  <si>
    <t>SZAHN08</t>
  </si>
  <si>
    <t>SZAHN09</t>
  </si>
  <si>
    <t>SALKO02a</t>
  </si>
  <si>
    <t>SALKO02d</t>
  </si>
  <si>
    <t>SALKO03a</t>
  </si>
  <si>
    <t>SALKO03d</t>
  </si>
  <si>
    <t>SALKO04a</t>
  </si>
  <si>
    <t>SALKO04d</t>
  </si>
  <si>
    <t>SALKO05a</t>
  </si>
  <si>
    <t>SALKO05d</t>
  </si>
  <si>
    <t>SALKO06</t>
  </si>
  <si>
    <t>SALKO09</t>
  </si>
  <si>
    <t>SFAPL23</t>
  </si>
  <si>
    <t>SFAPL24a</t>
  </si>
  <si>
    <t>SFAPL24b</t>
  </si>
  <si>
    <t>SFAPL24c</t>
  </si>
  <si>
    <t>SFAPL24d</t>
  </si>
  <si>
    <t>SFAPL24e</t>
  </si>
  <si>
    <t>SSOSI01</t>
  </si>
  <si>
    <t>SHEPR01</t>
  </si>
  <si>
    <t>SHEPR02</t>
  </si>
  <si>
    <t>SHEPR03</t>
  </si>
  <si>
    <t>SHEPR05</t>
  </si>
  <si>
    <t>SKBEH01a</t>
  </si>
  <si>
    <t>SKBEH01b</t>
  </si>
  <si>
    <t>SKBEH01c</t>
  </si>
  <si>
    <t>SKID</t>
  </si>
  <si>
    <t>SALKO01</t>
  </si>
  <si>
    <t>SALKO02b</t>
  </si>
  <si>
    <t>ALC_SEM</t>
  </si>
  <si>
    <t>SALKO03b</t>
  </si>
  <si>
    <t>SALKO04b</t>
  </si>
  <si>
    <t>SALKO05b</t>
  </si>
  <si>
    <t>SALKO02c</t>
  </si>
  <si>
    <t>QTE_BIE</t>
  </si>
  <si>
    <t>SALKO02f</t>
  </si>
  <si>
    <t>SALKO02e</t>
  </si>
  <si>
    <t>ALC_MOI</t>
  </si>
  <si>
    <t>SALKO03e</t>
  </si>
  <si>
    <t>SALKO04e</t>
  </si>
  <si>
    <t>SALKO05e</t>
  </si>
  <si>
    <t>SALKO02g</t>
  </si>
  <si>
    <t>ALC_TYP</t>
  </si>
  <si>
    <t>SALKO03g</t>
  </si>
  <si>
    <t>SALKO04g</t>
  </si>
  <si>
    <t>SALKO05g</t>
  </si>
  <si>
    <t>SALKO03c</t>
  </si>
  <si>
    <t>QTE_VIN</t>
  </si>
  <si>
    <t>SALKO03f</t>
  </si>
  <si>
    <t>SALKO04c</t>
  </si>
  <si>
    <t>QTE_CID</t>
  </si>
  <si>
    <t>SALKO04f</t>
  </si>
  <si>
    <t>SALKO05c</t>
  </si>
  <si>
    <t>QTE_SPI</t>
  </si>
  <si>
    <t>SALKO05f</t>
  </si>
  <si>
    <t>SALKO07</t>
  </si>
  <si>
    <t>PRO_ALC</t>
  </si>
  <si>
    <t>SALKO08</t>
  </si>
  <si>
    <t>SALKO10</t>
  </si>
  <si>
    <t>SERNA01a</t>
  </si>
  <si>
    <t>COCHE</t>
  </si>
  <si>
    <t>SERNA01b</t>
  </si>
  <si>
    <t>SERNA01c</t>
  </si>
  <si>
    <t>SERNA01d</t>
  </si>
  <si>
    <t>SERNA01e</t>
  </si>
  <si>
    <t>SERNA01f</t>
  </si>
  <si>
    <t>SERNA01g</t>
  </si>
  <si>
    <t>SERNA01h</t>
  </si>
  <si>
    <t>SERNA01i</t>
  </si>
  <si>
    <t>SERNA01j</t>
  </si>
  <si>
    <t>SUMWE01a</t>
  </si>
  <si>
    <t>SUMWE01b</t>
  </si>
  <si>
    <t>SUMWE01c</t>
  </si>
  <si>
    <t>SUMWE01d</t>
  </si>
  <si>
    <t>SUMWE01e</t>
  </si>
  <si>
    <t>SUMWE01f</t>
  </si>
  <si>
    <t>SUMWE01g</t>
  </si>
  <si>
    <t>SUMWE02a</t>
  </si>
  <si>
    <t>SUMWE02b</t>
  </si>
  <si>
    <t>SUMWE02c</t>
  </si>
  <si>
    <t>SUMWE02d</t>
  </si>
  <si>
    <t>SUMWE02e</t>
  </si>
  <si>
    <t>SUMWE02f</t>
  </si>
  <si>
    <t>SUMWE02g</t>
  </si>
  <si>
    <t>SUMWE02h</t>
  </si>
  <si>
    <t>SUMWE02i</t>
  </si>
  <si>
    <t>SGEFO01</t>
  </si>
  <si>
    <t>PREVENT</t>
  </si>
  <si>
    <t>SGEFO02</t>
  </si>
  <si>
    <t>SGEFO03</t>
  </si>
  <si>
    <t>SGEFO04</t>
  </si>
  <si>
    <t>SGEFO05</t>
  </si>
  <si>
    <t>SGEFO06</t>
  </si>
  <si>
    <t>SMEKO01</t>
  </si>
  <si>
    <t>PILLUL</t>
  </si>
  <si>
    <t>SMEKO03</t>
  </si>
  <si>
    <t>PIL_FRE</t>
  </si>
  <si>
    <t>SSOSI03</t>
  </si>
  <si>
    <t>SAL_ACC</t>
  </si>
  <si>
    <t>SSOSI04a</t>
  </si>
  <si>
    <t>PRI_ASS</t>
  </si>
  <si>
    <t>SSOSI05a</t>
  </si>
  <si>
    <t>SSOSI06</t>
  </si>
  <si>
    <t>FRA_ASS</t>
  </si>
  <si>
    <t>SSODE01</t>
  </si>
  <si>
    <t>REVENU</t>
  </si>
  <si>
    <t>SHEPR04</t>
  </si>
  <si>
    <t>Douleurs, crampes pectorales : adaptation comportement</t>
  </si>
  <si>
    <t>DOULEUR</t>
  </si>
  <si>
    <t>SHEPR06</t>
  </si>
  <si>
    <t>DISPAR</t>
  </si>
  <si>
    <t>SKISEXa</t>
  </si>
  <si>
    <t>KIDSEX</t>
  </si>
  <si>
    <t>SKISEXb</t>
  </si>
  <si>
    <t>SKISEXc</t>
  </si>
  <si>
    <t>SKSTI01a</t>
  </si>
  <si>
    <t>ALLAIT</t>
  </si>
  <si>
    <t>SKSTI01b</t>
  </si>
  <si>
    <t>SKSTI01c</t>
  </si>
  <si>
    <t>SKBEH02a</t>
  </si>
  <si>
    <t>INF_HAN</t>
  </si>
  <si>
    <t>SKBEH02b</t>
  </si>
  <si>
    <t>SKBEH02c</t>
  </si>
  <si>
    <t>SALTER7</t>
  </si>
  <si>
    <t>SALTER4</t>
  </si>
  <si>
    <t>SALTER3</t>
  </si>
  <si>
    <t>SFBSPRACH</t>
  </si>
  <si>
    <t>SFBTYP</t>
  </si>
  <si>
    <t>SGB</t>
  </si>
  <si>
    <t>SGB Enquête suisse sur la santé</t>
  </si>
  <si>
    <t>x</t>
  </si>
  <si>
    <r>
      <t>Niveau secondaire I</t>
    </r>
    <r>
      <rPr>
        <sz val="11"/>
        <rFont val="Arial"/>
        <family val="2"/>
      </rPr>
      <t xml:space="preserve">
Scolarité obligatoire
Ecole de culture générale ou préparant à une formation professionnelle
</t>
    </r>
    <r>
      <rPr>
        <i/>
        <sz val="11"/>
        <rFont val="Arial"/>
        <family val="2"/>
      </rPr>
      <t>Niveau secondaire II</t>
    </r>
    <r>
      <rPr>
        <sz val="11"/>
        <rFont val="Arial"/>
        <family val="2"/>
      </rPr>
      <t xml:space="preserve">
Apprentissage, école professionnelle à plein temps
Ecole préparant à la maturité
Ecole normale
</t>
    </r>
    <r>
      <rPr>
        <i/>
        <sz val="11"/>
        <rFont val="Arial"/>
        <family val="2"/>
      </rPr>
      <t>Niveau tertiaire</t>
    </r>
    <r>
      <rPr>
        <sz val="11"/>
        <rFont val="Arial"/>
        <family val="2"/>
      </rPr>
      <t xml:space="preserve">
Formation professionnelle supérieure
Ecole professionnelle supérieure
Haute école spécialisée
Université, haute école
Sans indication
Aucune formation en cours
Age préscolaire</t>
    </r>
  </si>
  <si>
    <r>
      <t xml:space="preserve">Aucune formation achevée
</t>
    </r>
    <r>
      <rPr>
        <i/>
        <sz val="11"/>
        <rFont val="Arial"/>
        <family val="2"/>
      </rPr>
      <t>Niveau secondaire I</t>
    </r>
    <r>
      <rPr>
        <sz val="11"/>
        <rFont val="Arial"/>
        <family val="2"/>
      </rPr>
      <t xml:space="preserve">
Scolarité obligatoire
Ecole de culture générale ou préparant à une formation professionnelle
</t>
    </r>
    <r>
      <rPr>
        <i/>
        <sz val="11"/>
        <rFont val="Arial"/>
        <family val="2"/>
      </rPr>
      <t>Niveau secondaire II</t>
    </r>
    <r>
      <rPr>
        <sz val="11"/>
        <rFont val="Arial"/>
        <family val="2"/>
      </rPr>
      <t xml:space="preserve">
Apprentissage, école professionnelle à plein temps
Ecole préparant à la maturité
Ecole normale
</t>
    </r>
    <r>
      <rPr>
        <i/>
        <sz val="11"/>
        <rFont val="Arial"/>
        <family val="2"/>
      </rPr>
      <t>Niveau tertiaire</t>
    </r>
    <r>
      <rPr>
        <sz val="11"/>
        <rFont val="Arial"/>
        <family val="2"/>
      </rPr>
      <t xml:space="preserve">
Formation professionnelle supérieure
Ecole professionnelle supérieure
Haute école spécialisée
Université, haute école
Sans indication
Age scolaire
Age préscolaire</t>
    </r>
  </si>
  <si>
    <r>
      <t>Personnes actives occupées</t>
    </r>
    <r>
      <rPr>
        <sz val="11"/>
        <rFont val="Arial"/>
        <family val="2"/>
      </rPr>
      <t xml:space="preserve">
Actifs occupés à plein temps
Actifs occupés avec un ou plusieurs emplois à temps partiel
Apprentis
Actifs occupés sans autre indication
</t>
    </r>
    <r>
      <rPr>
        <i/>
        <sz val="11"/>
        <rFont val="Arial"/>
        <family val="2"/>
      </rPr>
      <t>Personnes sans emploi, au chômage</t>
    </r>
    <r>
      <rPr>
        <sz val="11"/>
        <rFont val="Arial"/>
        <family val="2"/>
      </rPr>
      <t xml:space="preserve">
Personnes sans emploi, au chômage
</t>
    </r>
    <r>
      <rPr>
        <i/>
        <sz val="11"/>
        <rFont val="Arial"/>
        <family val="2"/>
      </rPr>
      <t>Personnes non actives</t>
    </r>
    <r>
      <rPr>
        <sz val="11"/>
        <rFont val="Arial"/>
        <family val="2"/>
      </rPr>
      <t xml:space="preserve">
Non actifs en formation
Non actifs effectuant un travail bénévole
Non actifs effectuant des travaux ménagers
Non actifs rentiers ou retraités
Autres non actifs
</t>
    </r>
    <r>
      <rPr>
        <i/>
        <sz val="11"/>
        <rFont val="Arial"/>
        <family val="2"/>
      </rPr>
      <t>Personnes de moins de 15 ans</t>
    </r>
    <r>
      <rPr>
        <sz val="11"/>
        <rFont val="Arial"/>
        <family val="2"/>
      </rPr>
      <t xml:space="preserve">
Personnes de moins de 15 ans</t>
    </r>
  </si>
  <si>
    <r>
      <t>Actifs occupés à plein temps</t>
    </r>
    <r>
      <rPr>
        <sz val="11"/>
        <rFont val="Arial"/>
        <family val="2"/>
      </rPr>
      <t xml:space="preserve">
Actifs occupés à plein temps
Apprentis
</t>
    </r>
    <r>
      <rPr>
        <i/>
        <sz val="11"/>
        <rFont val="Arial"/>
        <family val="2"/>
      </rPr>
      <t>Actifs occupés à temps partiel</t>
    </r>
    <r>
      <rPr>
        <sz val="11"/>
        <rFont val="Arial"/>
        <family val="2"/>
      </rPr>
      <t xml:space="preserve">
Actifs occupés à temps partiel 70% et plus
Actifs occupés à temps partiel 50-69%
Actifs occupés à temps partiel 20-49%
Actifs occupés à temps partiel moins de 20%
Actifs occupés à temps partiel sans autre indication
Actifs occupés sans indication
Personnes non actives ou sans emploi 
Personnes de moins de 15 ans</t>
    </r>
  </si>
  <si>
    <t>grund_krank_cd_n</t>
  </si>
  <si>
    <t>grund_krank_det_cd_n</t>
  </si>
  <si>
    <t>neben_krank1_n</t>
  </si>
  <si>
    <t>neben_krank1_det_n</t>
  </si>
  <si>
    <t>neben_krank1_zusatz_cd_n</t>
  </si>
  <si>
    <t>neben_krank2_n</t>
  </si>
  <si>
    <t>neben_krank2_det_n</t>
  </si>
  <si>
    <t>neben_krank2_zusatz_cd_n</t>
  </si>
  <si>
    <t>umst_krank1_n</t>
  </si>
  <si>
    <t>umst_krank2_n</t>
  </si>
  <si>
    <t>umst_krank3_n</t>
  </si>
  <si>
    <t>aggr_tot_ursach1_n</t>
  </si>
  <si>
    <t>aggr_tot_ursach2_n</t>
  </si>
  <si>
    <t>aggr_tot_ursach3_n</t>
  </si>
  <si>
    <t>tot_ursach_tu_n</t>
  </si>
  <si>
    <t>autopsie_cd_ges_n</t>
  </si>
  <si>
    <t>autopsie_bestaetigt_cd_ges_n</t>
  </si>
  <si>
    <t>autopsie_resultat_cd_ges_n</t>
  </si>
  <si>
    <t>grund_krank_ges_t</t>
  </si>
  <si>
    <t>folge_krank_ges_t</t>
  </si>
  <si>
    <t>begleit_krank_a_ges_t</t>
  </si>
  <si>
    <t>begleit_krank_b_ges_t</t>
  </si>
  <si>
    <t>endg_u_cd_ges_t</t>
  </si>
  <si>
    <t>unfall_ges_d</t>
  </si>
  <si>
    <t>geschlecht_cd_ges_t</t>
  </si>
  <si>
    <t>geburt_ges_d</t>
  </si>
  <si>
    <t>geburt_std_ges_n</t>
  </si>
  <si>
    <t>ereignis_ges_d</t>
  </si>
  <si>
    <t>ereignis_std_ges_n</t>
  </si>
  <si>
    <t>beruf_t</t>
  </si>
  <si>
    <t>beruf_n</t>
  </si>
  <si>
    <t>sterbeort_cd_n</t>
  </si>
  <si>
    <t>sjahr_n</t>
  </si>
  <si>
    <t>lauf_ks_n</t>
  </si>
  <si>
    <t>zaehlen_cd_n</t>
  </si>
  <si>
    <t>ereignis_d</t>
  </si>
  <si>
    <t>heirat_eltern_d</t>
  </si>
  <si>
    <t>m_geburt_d</t>
  </si>
  <si>
    <t>v_geburt_d</t>
  </si>
  <si>
    <t>geburt_vor_d</t>
  </si>
  <si>
    <t>ereignis_std_n</t>
  </si>
  <si>
    <t>m_alter_erfuellt_n</t>
  </si>
  <si>
    <t>v_alter_erfuellt_n</t>
  </si>
  <si>
    <t>ehedauer_mt_erfuellt_n</t>
  </si>
  <si>
    <t>ehedauer_ja_erfuellt_n</t>
  </si>
  <si>
    <t>geschlecht_cd_t</t>
  </si>
  <si>
    <t>gest_alter_n</t>
  </si>
  <si>
    <t>geb_ort_n</t>
  </si>
  <si>
    <t>st_akt_n</t>
  </si>
  <si>
    <t>art_geburt_cd_n</t>
  </si>
  <si>
    <t>anz_knaben_n</t>
  </si>
  <si>
    <t>anz_maedchen_n</t>
  </si>
  <si>
    <t>koerper_laenge_ges_n</t>
  </si>
  <si>
    <t>koerper_gewicht_ges_n</t>
  </si>
  <si>
    <t>m_nat_n</t>
  </si>
  <si>
    <t>m_zsd_cd_n</t>
  </si>
  <si>
    <t>heirat_st_cd_n</t>
  </si>
  <si>
    <t>m_wort_akt_gem_n / m_wort_akt_st_n</t>
  </si>
  <si>
    <t>m_st_beruf_n</t>
  </si>
  <si>
    <t>m_beruf_cd_n</t>
  </si>
  <si>
    <t>v_st_beruf_n</t>
  </si>
  <si>
    <t>v_beruf_cd_n</t>
  </si>
  <si>
    <t>v_nat_n</t>
  </si>
  <si>
    <t>v_heimat_cd_n</t>
  </si>
  <si>
    <t>geburt_vor_gesamt_d</t>
  </si>
  <si>
    <t>k_anz_n</t>
  </si>
  <si>
    <t>leben_mehr_geburt_n</t>
  </si>
  <si>
    <t>k_tot_anz_n</t>
  </si>
  <si>
    <t>dauer_vor_gesamt_ja_erfuellt_n</t>
  </si>
  <si>
    <t>dauer_vor_gesamt_mt_erfuellt_n</t>
  </si>
  <si>
    <t>ereignis_dat_fl_n</t>
  </si>
  <si>
    <t>m_geburt_dat_fl_n</t>
  </si>
  <si>
    <t>heirat_eltern_dat_fl_n</t>
  </si>
  <si>
    <t>v_geburt_dat_fl_n</t>
  </si>
  <si>
    <t>geburt_vor_dat_fl_n</t>
  </si>
  <si>
    <t>ereignis_std_fl_n</t>
  </si>
  <si>
    <t>geschlecht_cd_fl_n</t>
  </si>
  <si>
    <t>art_geburt2_cd_fl_n</t>
  </si>
  <si>
    <t>anz_knaben_fl_n</t>
  </si>
  <si>
    <t>anz_maedchen_fl_n</t>
  </si>
  <si>
    <t>k_anz_fl_n</t>
  </si>
  <si>
    <t>wievieltes_k_fl_n</t>
  </si>
  <si>
    <t>m_zsd_cd_fl_n</t>
  </si>
  <si>
    <t>m_wort_sitz_cd_n</t>
  </si>
  <si>
    <t>v_alter_annaehernd_n</t>
  </si>
  <si>
    <t>m_alter_annaehernd_n</t>
  </si>
  <si>
    <t>ges_grund_krank_nr_t</t>
  </si>
  <si>
    <t>ges_folge_krank_nr_t</t>
  </si>
  <si>
    <t>ges_begleit_krank_a_nr_t</t>
  </si>
  <si>
    <t>ges_begleit_krank_b_nr_t</t>
  </si>
  <si>
    <t>ges_krank_end_t</t>
  </si>
  <si>
    <t>autopsie_cd_n</t>
  </si>
  <si>
    <t>autopsie_bestaetigt_cd_n</t>
  </si>
  <si>
    <t>ges_grund_krank_n</t>
  </si>
  <si>
    <t>ges_folge_krank_n</t>
  </si>
  <si>
    <t>ges_begleit_krank_a_n</t>
  </si>
  <si>
    <t>ges_begleit_krank_b_n</t>
  </si>
  <si>
    <t>ges_krank_end_cd_n</t>
  </si>
  <si>
    <t>grund_krank_n</t>
  </si>
  <si>
    <t>grund_krank_det_n</t>
  </si>
  <si>
    <t>0-120</t>
  </si>
  <si>
    <t>Dans chaque fichier (onglets de couleur jaune), veuillez indiquer les variables à livrer par une croix dans la colonne A, ainsi que les années dans la colonne G ci-dessous</t>
  </si>
  <si>
    <t>1469
A009-Z992
.</t>
  </si>
  <si>
    <t>0
A020-Z998
.</t>
  </si>
  <si>
    <r>
      <t xml:space="preserve">Pièces d'habitation </t>
    </r>
    <r>
      <rPr>
        <sz val="11"/>
        <color theme="1"/>
        <rFont val="Arial"/>
        <family val="2"/>
      </rPr>
      <t>= nombre de pièces contiguës (H-ZIMM) + pièces d'habitation indépendantes (H-ZUZI)</t>
    </r>
  </si>
  <si>
    <r>
      <t xml:space="preserve">Champs à 2 positions, les 2 indications sont triées par ordre croissant.  
</t>
    </r>
    <r>
      <rPr>
        <u/>
        <sz val="11"/>
        <rFont val="Arial"/>
        <family val="2"/>
      </rPr>
      <t>Ex</t>
    </r>
    <r>
      <rPr>
        <sz val="11"/>
        <rFont val="Arial"/>
        <family val="2"/>
      </rPr>
      <t xml:space="preserve">: si G-ENH2 = gaz et électricité ---&gt; G-ENH2 = 24  </t>
    </r>
  </si>
  <si>
    <t>1
2
3
4    
5</t>
  </si>
  <si>
    <t>1 
2 
3
4 
5 
6 
7
8 
9</t>
  </si>
  <si>
    <t>01-98 
99</t>
  </si>
  <si>
    <t>1
2 
9</t>
  </si>
  <si>
    <t>01  
02     
03 
04 
05 
06 
07 
08 
09 
10 
11 
12     
13 
99</t>
  </si>
  <si>
    <t>01
02
03
04
05
06
07
08
09
99</t>
  </si>
  <si>
    <t>00
01   
 –    
89      
99</t>
  </si>
  <si>
    <t>01
02 
03
04 
05 
06 
07 
08 
09 
99</t>
  </si>
  <si>
    <t>01 
02 
03 
04 
05 
06 
07 
08 
09 
99</t>
  </si>
  <si>
    <t>0
1
2
3
4
5
7
9</t>
  </si>
  <si>
    <t>0             
1    
2    
3          
4
5
7
9</t>
  </si>
  <si>
    <t>000
001 
   -   
999</t>
  </si>
  <si>
    <t xml:space="preserve">000    
001   
 –    
999   
 </t>
  </si>
  <si>
    <t>000     
001   
 -   
999</t>
  </si>
  <si>
    <t>000   
001 
– 
999</t>
  </si>
  <si>
    <t>000     
001   
 –    
999</t>
  </si>
  <si>
    <t>000
001 
– 
999</t>
  </si>
  <si>
    <t xml:space="preserve">000
001 
– 
999
</t>
  </si>
  <si>
    <t>00000
00001
 – 
99999</t>
  </si>
  <si>
    <t>00000
00001 
–
99999</t>
  </si>
  <si>
    <t>00000
00001 
– 
99999</t>
  </si>
  <si>
    <t>0000
0001
 – 
9999</t>
  </si>
  <si>
    <t>0000
0001 
– 
9999</t>
  </si>
  <si>
    <t>0000
0001 
 –  
9999</t>
  </si>
  <si>
    <t>000      
001 
 –  
999</t>
  </si>
  <si>
    <t>000
001 
 -  
999</t>
  </si>
  <si>
    <t>000    
001 
 - 
999</t>
  </si>
  <si>
    <t>000
001  
–  
999</t>
  </si>
  <si>
    <t>000
001 
 - 
999</t>
  </si>
  <si>
    <t xml:space="preserve">00
01-80
81-89 
91
93 
94 
99 </t>
  </si>
  <si>
    <t>01–98
99</t>
  </si>
  <si>
    <t>000
001-998
999</t>
  </si>
  <si>
    <t>1
2 
3
9</t>
  </si>
  <si>
    <t>1
2
3
4
5
6
7
8
9</t>
  </si>
  <si>
    <t>00000 
00001-99998
99999</t>
  </si>
  <si>
    <t>0
1-8
9</t>
  </si>
  <si>
    <t xml:space="preserve">01
02 
03 
04 
05 
06 
07
08 
91
92
93 </t>
  </si>
  <si>
    <t xml:space="preserve">01 
02
03 
04
05 
06
07
08 
91
92
93 </t>
  </si>
  <si>
    <t xml:space="preserve">00      
01-99   </t>
  </si>
  <si>
    <t>00       
 01-99</t>
  </si>
  <si>
    <t>00        
01-99</t>
  </si>
  <si>
    <t>000            
001-999</t>
  </si>
  <si>
    <t>000                   
001-999</t>
  </si>
  <si>
    <t>000             
001-999</t>
  </si>
  <si>
    <t>0000                     
0001-9999</t>
  </si>
  <si>
    <t>0
1    
2 
3    
4
5 
9</t>
  </si>
  <si>
    <t>1 
2
3
4
5 
6 
7
8 
9</t>
  </si>
  <si>
    <t xml:space="preserve"> G_RART</t>
  </si>
  <si>
    <t>G_KANT</t>
  </si>
  <si>
    <t>G_ZGDE</t>
  </si>
  <si>
    <t>0001
 - 
6806</t>
  </si>
  <si>
    <t>G_GEBAEUDE_ID</t>
  </si>
  <si>
    <t>000000001
 - 
999999999</t>
  </si>
  <si>
    <t>LEERES FELD</t>
  </si>
  <si>
    <t>G_ZKRS</t>
  </si>
  <si>
    <t>00000000
00000001
-
99999999</t>
  </si>
  <si>
    <t>G_GLOC2</t>
  </si>
  <si>
    <t>G_GLOC3</t>
  </si>
  <si>
    <t>G_GLOC4</t>
  </si>
  <si>
    <t>G_GART</t>
  </si>
  <si>
    <t>G_BAUP</t>
  </si>
  <si>
    <t>G_RENO</t>
  </si>
  <si>
    <t>G_RENP</t>
  </si>
  <si>
    <t>G_ANZG</t>
  </si>
  <si>
    <t>G_EIGW</t>
  </si>
  <si>
    <t>1 
2 
9</t>
  </si>
  <si>
    <t>01 
02     
03 
04 
05 
06 
07 
08 
09 
10 
11 
12     
13 
99</t>
  </si>
  <si>
    <t>G_HEIZ</t>
  </si>
  <si>
    <t>1 
2 
3
4 
5 
6 
9</t>
  </si>
  <si>
    <t>G_ENH1</t>
  </si>
  <si>
    <t>01
02 
03 
04
05 
06 
07 
08 
09 
99</t>
  </si>
  <si>
    <t>G_ENH2</t>
  </si>
  <si>
    <t>00 
01   
 –    
89      
99</t>
  </si>
  <si>
    <t>G_WWAS</t>
  </si>
  <si>
    <t>G_ENSO</t>
  </si>
  <si>
    <t>01 
02
03
04 
05 
06 
07 
08 
09 
99</t>
  </si>
  <si>
    <t>G_ENWI</t>
  </si>
  <si>
    <t>01
02
03
04
05
06
07
08 
09 
99</t>
  </si>
  <si>
    <t xml:space="preserve">G_KATW  </t>
  </si>
  <si>
    <t>G_KATZ</t>
  </si>
  <si>
    <t xml:space="preserve">0     
1    
2    
3
4
5          </t>
  </si>
  <si>
    <t>G_ANZW</t>
  </si>
  <si>
    <t>G_AZWET</t>
  </si>
  <si>
    <t xml:space="preserve">000    
001 
   -   
999  </t>
  </si>
  <si>
    <t>G_AZWOT</t>
  </si>
  <si>
    <t xml:space="preserve">000     
001   
 –    
999   
 </t>
  </si>
  <si>
    <t>G_ABWEW</t>
  </si>
  <si>
    <t>000       
001   
 -    
999</t>
  </si>
  <si>
    <t>G_ABWEZ</t>
  </si>
  <si>
    <t>G_ABWOW</t>
  </si>
  <si>
    <t>000        
001   
 –    
999</t>
  </si>
  <si>
    <t>G_ABWOZ</t>
  </si>
  <si>
    <t>000       
001 
– 
999</t>
  </si>
  <si>
    <t>G_AZWEW</t>
  </si>
  <si>
    <t>G_AZWEZ</t>
  </si>
  <si>
    <t>000  
001
 - 
999</t>
  </si>
  <si>
    <t>000  
001 
– 
999</t>
  </si>
  <si>
    <t>G_AZWW</t>
  </si>
  <si>
    <t>G_AZWZ</t>
  </si>
  <si>
    <t>G_ANBE</t>
  </si>
  <si>
    <t xml:space="preserve">000  
001 
– 
999
</t>
  </si>
  <si>
    <t>G_APTO</t>
  </si>
  <si>
    <t>0000 
00001
 – 
99999</t>
  </si>
  <si>
    <t>G_APWG</t>
  </si>
  <si>
    <t>G_APZR</t>
  </si>
  <si>
    <t>00000  
00001 
– 
99999</t>
  </si>
  <si>
    <t>G_APWEW</t>
  </si>
  <si>
    <t>0000   
0001
 – 
9999</t>
  </si>
  <si>
    <t>G_APWHW</t>
  </si>
  <si>
    <t>0000   
0001 
– 
9999</t>
  </si>
  <si>
    <t>G_APWEZ</t>
  </si>
  <si>
    <t>0000   
0001 
 –  
9999</t>
  </si>
  <si>
    <t>G_APWHZ</t>
  </si>
  <si>
    <t>G_APKHHW</t>
  </si>
  <si>
    <t>0000    
0001 
 -  
9999</t>
  </si>
  <si>
    <t>G_APKHHZ</t>
  </si>
  <si>
    <t>0000    
0001 
 - 
9999</t>
  </si>
  <si>
    <t>G_APSHHW</t>
  </si>
  <si>
    <t>0000   
0001  
–  
9999</t>
  </si>
  <si>
    <t>G_APSHHZ</t>
  </si>
  <si>
    <t>0000   
0001 
 - 
9999</t>
  </si>
  <si>
    <t>000      
001   
 -   
999</t>
  </si>
  <si>
    <t>0
1
2
3
4
5</t>
  </si>
  <si>
    <t xml:space="preserve">1
2
3
4    
</t>
  </si>
  <si>
    <t>000
001
 - 
999</t>
  </si>
  <si>
    <t>000   
001   
 -    
999</t>
  </si>
  <si>
    <t>1
2 
3 
4
5 
6
9</t>
  </si>
  <si>
    <t>1
2
3
4 
9</t>
  </si>
  <si>
    <t>Remarque</t>
  </si>
  <si>
    <r>
      <t>%</t>
    </r>
    <r>
      <rPr>
        <i/>
        <sz val="11"/>
        <rFont val="Arial"/>
        <family val="2"/>
      </rPr>
      <t>codes_negatifs</t>
    </r>
    <r>
      <rPr>
        <sz val="11"/>
        <rFont val="Arial"/>
        <family val="2"/>
      </rPr>
      <t>;</t>
    </r>
  </si>
  <si>
    <t>1 = "Allemand"</t>
  </si>
  <si>
    <t>2 = "Français"</t>
  </si>
  <si>
    <t>3 = "Italien"</t>
  </si>
  <si>
    <t>50= "CATI"</t>
  </si>
  <si>
    <t>51= "PROXY"</t>
  </si>
  <si>
    <t>60= "CAPI"</t>
  </si>
  <si>
    <t>0 = "ALTEL"</t>
  </si>
  <si>
    <t>1 = "Normal"</t>
  </si>
  <si>
    <t>1="Homme"</t>
  </si>
  <si>
    <t>2="Femme"</t>
  </si>
  <si>
    <t>1="Très bien"</t>
  </si>
  <si>
    <t>2="Bien"</t>
  </si>
  <si>
    <t>3="Comme ci, comme ça"</t>
  </si>
  <si>
    <t>4="Mal"</t>
  </si>
  <si>
    <t>5="Très mal"</t>
  </si>
  <si>
    <t>1="Plutôt mieux"</t>
  </si>
  <si>
    <t>2="Comme toujours"</t>
  </si>
  <si>
    <t>3="Plutôt moins bien"</t>
  </si>
  <si>
    <t>1="Pas du tout"</t>
  </si>
  <si>
    <t>2="Un peu"</t>
  </si>
  <si>
    <t>3="Beaucoup"</t>
  </si>
  <si>
    <t>1="Oui"</t>
  </si>
  <si>
    <t>2="Non"</t>
  </si>
  <si>
    <t>1="Hanche (fessier, aine, cuisse)"</t>
  </si>
  <si>
    <t>2="Genou (jarret)"</t>
  </si>
  <si>
    <t>3="Les deux"</t>
  </si>
  <si>
    <t>4="Autre articulation"</t>
  </si>
  <si>
    <t>1="En été"</t>
  </si>
  <si>
    <t>2="En hiver"</t>
  </si>
  <si>
    <t>0="Aucun"</t>
  </si>
  <si>
    <t>1="Maladie"</t>
  </si>
  <si>
    <t>2="Accident"</t>
  </si>
  <si>
    <t>4="Autre"</t>
  </si>
  <si>
    <t>0="Jamais"</t>
  </si>
  <si>
    <t>1="Médecin (sans titre FMH)"</t>
  </si>
  <si>
    <t>2="Praticien en méd. générale (FMH)"</t>
  </si>
  <si>
    <t>3="Anesthésiologie"</t>
  </si>
  <si>
    <t>4="Chirurgie"</t>
  </si>
  <si>
    <t>5="Dermatologie et vénéréologie"</t>
  </si>
  <si>
    <t>6="Gynécologie et obstétrique"</t>
  </si>
  <si>
    <t>7="Médecine interne"</t>
  </si>
  <si>
    <t>8="Angiologie"</t>
  </si>
  <si>
    <t>9="Endocrinologie"</t>
  </si>
  <si>
    <t>10="Gastroentérologie"</t>
  </si>
  <si>
    <t>11="Hématologie"</t>
  </si>
  <si>
    <t>12="Cardiologie"</t>
  </si>
  <si>
    <t>13="Maladies des poumons"</t>
  </si>
  <si>
    <t>14="Néphrologie"</t>
  </si>
  <si>
    <t>15="Oncologie"</t>
  </si>
  <si>
    <t>16="Rhumatologie"</t>
  </si>
  <si>
    <t>17="Neurochirurgie"</t>
  </si>
  <si>
    <t>18="Neurologie"</t>
  </si>
  <si>
    <t>19="Ophtalmologie"</t>
  </si>
  <si>
    <t>20="Chirurgie orthopédique"</t>
  </si>
  <si>
    <t>21="ORL et chirurgie cervico-faciale"</t>
  </si>
  <si>
    <t>22="Pédiatrie"</t>
  </si>
  <si>
    <t>23="Pathologie"</t>
  </si>
  <si>
    <t>24="Médecine physique et réhabilitation"</t>
  </si>
  <si>
    <t>25="Psychiatrie et psychothérapie"</t>
  </si>
  <si>
    <t>26="Psychiatrie, psycho. d'enfants + d'ado."</t>
  </si>
  <si>
    <t>27="Radiologie médicale"</t>
  </si>
  <si>
    <t>28="Maladies tropicales"</t>
  </si>
  <si>
    <t>29="Urologie"</t>
  </si>
  <si>
    <t>30="Chirurgie infantile"</t>
  </si>
  <si>
    <t>31="Chirurgie plastique et reconstructive"</t>
  </si>
  <si>
    <t>32="Chirurgie maxillo-faciale"</t>
  </si>
  <si>
    <t>33="Prévention et santé publique"</t>
  </si>
  <si>
    <t>34="Autre"</t>
  </si>
  <si>
    <t>1="Non, cela n’a pas posé de problème"</t>
  </si>
  <si>
    <t>2="Oui, cela a posé des problèmes"</t>
  </si>
  <si>
    <t>1="Très content"</t>
  </si>
  <si>
    <t>2="Assez content"</t>
  </si>
  <si>
    <t>3="Plutôt mécontent"</t>
  </si>
  <si>
    <t>4="Très mécontent"</t>
  </si>
  <si>
    <t>1="Quotidiennement"</t>
  </si>
  <si>
    <t>2="Plusieurs fois par semaine"</t>
  </si>
  <si>
    <t>3="Environ 1 fois par semaine"</t>
  </si>
  <si>
    <t>4="Jamais"</t>
  </si>
  <si>
    <t>1="Prescrit par le médecin"</t>
  </si>
  <si>
    <t>2="Acheté soi-même (auto-médication)"</t>
  </si>
  <si>
    <t>1="Oui, je fais attention à quelque chose"</t>
  </si>
  <si>
    <t>2="Non, je ne fais attention à rien"</t>
  </si>
  <si>
    <t>1="Limiter quantité (calorie)"</t>
  </si>
  <si>
    <t>2="Pas manger trop sucre"</t>
  </si>
  <si>
    <t>3="Pas trop de sel"</t>
  </si>
  <si>
    <t>4="Pas trop de graisse"</t>
  </si>
  <si>
    <t>5="Ne pas boire trop alcool"</t>
  </si>
  <si>
    <t>6="Nourriture variée"</t>
  </si>
  <si>
    <t>7="Repas réguliers"</t>
  </si>
  <si>
    <t>8="Régime particulier"</t>
  </si>
  <si>
    <t>9="Assez fruits et légumes"</t>
  </si>
  <si>
    <t>10="Alimentation végétarienne"</t>
  </si>
  <si>
    <t>11="Viande particulière seulement"</t>
  </si>
  <si>
    <t>12="Aliments complets"</t>
  </si>
  <si>
    <t>13="Pas possible choisir alimentation"</t>
  </si>
  <si>
    <t>14="Autres choses"</t>
  </si>
  <si>
    <t>8="Rarement"</t>
  </si>
  <si>
    <t>1="1 jour par semaine"</t>
  </si>
  <si>
    <t>2="2 jours par semaine"</t>
  </si>
  <si>
    <t>3="3 jours par semaine"</t>
  </si>
  <si>
    <t>4="4 jours par semaine"</t>
  </si>
  <si>
    <t>5="5 jours par semaine"</t>
  </si>
  <si>
    <t>6="6 jours par semaine"</t>
  </si>
  <si>
    <t>7="7 jours par semaine"</t>
  </si>
  <si>
    <t>1="Viande blanche"</t>
  </si>
  <si>
    <t>2="Viande rouge"</t>
  </si>
  <si>
    <t>3="Les deux, en même quantité et fréquence"</t>
  </si>
  <si>
    <t>1="3 fois ou plus par jour"</t>
  </si>
  <si>
    <t>2="2 fois par jour (repas)"</t>
  </si>
  <si>
    <t>3="1 fois par jour"</t>
  </si>
  <si>
    <t>4="Plusieurs fois par semaine"</t>
  </si>
  <si>
    <t>5="1 ou 2 fois par semaine"</t>
  </si>
  <si>
    <t>6="Plus rarement"</t>
  </si>
  <si>
    <t>7="Jamais, abstinent"</t>
  </si>
  <si>
    <t>0="Moins de 1 par jour"</t>
  </si>
  <si>
    <t>0="Moins d'un an"</t>
  </si>
  <si>
    <t>1="Oui, j'ai essayé"</t>
  </si>
  <si>
    <t>2="Non, je n'y pense pas"</t>
  </si>
  <si>
    <t>1="Si membres de la famille ne fumaient pas"</t>
  </si>
  <si>
    <t>2="Si collègues ne fumaient pas"</t>
  </si>
  <si>
    <t>3="Si moins de problèmes dans la vie"</t>
  </si>
  <si>
    <t>4="Si installation zones réservées aux non-fumeurs"</t>
  </si>
  <si>
    <t>5="Si cigarettes coûtaient plus cher"</t>
  </si>
  <si>
    <t>6="Si offre de cours et méthodes pour arrêter était plus riche"</t>
  </si>
  <si>
    <t>7="Si moins de publicité pour les cigarettes, etc."</t>
  </si>
  <si>
    <t>8="Autre chose"</t>
  </si>
  <si>
    <t>1="Occupé à plein temps"</t>
  </si>
  <si>
    <t>2="Occupé à temps partiel"</t>
  </si>
  <si>
    <t>3="Femme / homme au foyer"</t>
  </si>
  <si>
    <t>4="En formation"</t>
  </si>
  <si>
    <t>5="En apprentissage"</t>
  </si>
  <si>
    <t>6="Collaborateur membre de famille"</t>
  </si>
  <si>
    <t>7="Occupé occasionnellement"</t>
  </si>
  <si>
    <t>8="Recrue / au service pour grader"</t>
  </si>
  <si>
    <t>9="Retraite, bénéficiaire d'une rente"</t>
  </si>
  <si>
    <t>10="Au chômage"</t>
  </si>
  <si>
    <t>11="Malade chronique (sans rente)"</t>
  </si>
  <si>
    <t>12="Autre"</t>
  </si>
  <si>
    <t>1="En formation"</t>
  </si>
  <si>
    <t>2="En apprentissage"</t>
  </si>
  <si>
    <t>3="Collaborateur membre de famille"</t>
  </si>
  <si>
    <t>4="Occupé à temps partiel"</t>
  </si>
  <si>
    <t>5="Occupé occasionnellement"</t>
  </si>
  <si>
    <t>1="Salarié"</t>
  </si>
  <si>
    <t>2="Indépendant"</t>
  </si>
  <si>
    <t>1="Employé comme apprenti"</t>
  </si>
  <si>
    <t>2="Employé (ouvrier, stagiaire)"</t>
  </si>
  <si>
    <t>3="Employé comme cadre"</t>
  </si>
  <si>
    <t>4="Employé comme directeur, procureur, fonctionnaire en chef"</t>
  </si>
  <si>
    <t>1="1 ou 1 1/2 pièces"</t>
  </si>
  <si>
    <t>2="2 ou 2 1/2 pièces"</t>
  </si>
  <si>
    <t>3="3 ou 3 1/2 pièces"</t>
  </si>
  <si>
    <t>4="4 ou 4 1/2 pièces"</t>
  </si>
  <si>
    <t>5="5 pièces"</t>
  </si>
  <si>
    <t>6="6 pièces"</t>
  </si>
  <si>
    <t>7="7 pièces"</t>
  </si>
  <si>
    <t>8="8 pièces et plus"</t>
  </si>
  <si>
    <t>0="Aucune"</t>
  </si>
  <si>
    <t>1="Caisse maladie, assurance-maladie privée"</t>
  </si>
  <si>
    <t>2="Je paie moi-même"</t>
  </si>
  <si>
    <t>1="Depuis ma naissance"</t>
  </si>
  <si>
    <t>2="Depuis plus de 10 ans"</t>
  </si>
  <si>
    <t>3="Entre 6 et 10 ans"</t>
  </si>
  <si>
    <t>4="Entre 1 et 5 ans"</t>
  </si>
  <si>
    <t>5="Depuis moins d’un an"</t>
  </si>
  <si>
    <t>1="J'y ai toujours été assuré"</t>
  </si>
  <si>
    <t>2="Les primes sont avantageuses"</t>
  </si>
  <si>
    <t>3="A cause des prestations"</t>
  </si>
  <si>
    <t>4="Assurance-maladie est indispensable"</t>
  </si>
  <si>
    <t>5="Prescrit par l'employeur"</t>
  </si>
  <si>
    <t>6="Pas d'alternative"</t>
  </si>
  <si>
    <t>7="Changement d'état civil"</t>
  </si>
  <si>
    <t>8="Recommandée par des connaissances"</t>
  </si>
  <si>
    <t>9="Autre motif"</t>
  </si>
  <si>
    <t>1="Assurance normale, habituelle"</t>
  </si>
  <si>
    <t>2="Assurance bonus"</t>
  </si>
  <si>
    <t>3="Assurance HMO"</t>
  </si>
  <si>
    <t>4="Assurance avec franchise annuelle à choix"</t>
  </si>
  <si>
    <t>5="Autre"</t>
  </si>
  <si>
    <t>1="Division commune"</t>
  </si>
  <si>
    <t>2="Division demi-privée"</t>
  </si>
  <si>
    <t>3="Division privée"</t>
  </si>
  <si>
    <t>1="Primes trop chères"</t>
  </si>
  <si>
    <t>2="Je suis et reste sain"</t>
  </si>
  <si>
    <t>3="Je veux et peux payer moi-même"</t>
  </si>
  <si>
    <t>1="Femme, mari, partenaire"</t>
  </si>
  <si>
    <t>2="Père, mère"</t>
  </si>
  <si>
    <t>3="Fille"</t>
  </si>
  <si>
    <t>4="Fils"</t>
  </si>
  <si>
    <t>5="Parents hors ménage"</t>
  </si>
  <si>
    <t>6="Connaissances hors ménage"</t>
  </si>
  <si>
    <t>7="Organisations"</t>
  </si>
  <si>
    <t>8="Autres"</t>
  </si>
  <si>
    <t>1="Presque tous les jours"</t>
  </si>
  <si>
    <t>2="Env. 1 fois par semaine"</t>
  </si>
  <si>
    <t>3="Env. 1 fois par mois"</t>
  </si>
  <si>
    <t>4="Quelques fois par année"</t>
  </si>
  <si>
    <t>5="Jamais"</t>
  </si>
  <si>
    <t>6="Je ne le peux pas"</t>
  </si>
  <si>
    <t>5="Plus rarement"</t>
  </si>
  <si>
    <t>6="Jamais"</t>
  </si>
  <si>
    <t>1="Oui, plusieurs personnes"</t>
  </si>
  <si>
    <t>2="Oui, une personne"</t>
  </si>
  <si>
    <t>3="Non"</t>
  </si>
  <si>
    <t>2="3-4 jours"</t>
  </si>
  <si>
    <t>3="1-2 jours"</t>
  </si>
  <si>
    <t>1="Normal"</t>
  </si>
  <si>
    <t>1="Normale"</t>
  </si>
  <si>
    <t>2="Trop basse"</t>
  </si>
  <si>
    <t>3="Trop élevée"</t>
  </si>
  <si>
    <t>1="A indiqué la date"</t>
  </si>
  <si>
    <t>2="Jamais"</t>
  </si>
  <si>
    <t>1="A indiqué la tension"</t>
  </si>
  <si>
    <t>2="Le médecin ne m'a pas informé"</t>
  </si>
  <si>
    <t>2="Trop élevé"</t>
  </si>
  <si>
    <t>1="Pour voir de près (lire, écrire)"</t>
  </si>
  <si>
    <t>2="Pour voir de loin (conduire)"</t>
  </si>
  <si>
    <t>3="Autre"</t>
  </si>
  <si>
    <t>1="Oui, sans difficulté"</t>
  </si>
  <si>
    <t>2="Oui, sans trop de difficulté"</t>
  </si>
  <si>
    <t>3="Oui, mais avec beaucoup difficulté"</t>
  </si>
  <si>
    <t>4="Non"</t>
  </si>
  <si>
    <t>1="Handicap pas suffisamment important"</t>
  </si>
  <si>
    <t>2="Appareil ne peut encore être livré"</t>
  </si>
  <si>
    <t>3="Sais pas où appareil est disponible"</t>
  </si>
  <si>
    <t>4="Appareil trop cher"</t>
  </si>
  <si>
    <t>5="Ne peut pas obtenir un tel appareil"</t>
  </si>
  <si>
    <t>6="Jamais prescrit un tel appareil"</t>
  </si>
  <si>
    <t>7="Pas de temps de me procurer tel appareil"</t>
  </si>
  <si>
    <t>8="Pas de raison particulière"</t>
  </si>
  <si>
    <t>9="Autre raison"</t>
  </si>
  <si>
    <t>1="Oui, je peux tout faire tout seul"</t>
  </si>
  <si>
    <t>2="Non, je ne peux pas faire cela seul"</t>
  </si>
  <si>
    <t>1="200 mètres ou plus"</t>
  </si>
  <si>
    <t>2="Plus de quelques pas, mais moins de 200 mètres"</t>
  </si>
  <si>
    <t>3="Seulement quelques pas"</t>
  </si>
  <si>
    <t>4="Ne peut pas se déplacer"</t>
  </si>
  <si>
    <t>1="Existe depuis la naissance"</t>
  </si>
  <si>
    <t>2="Maladie"</t>
  </si>
  <si>
    <t>3="Accident"</t>
  </si>
  <si>
    <t>4="Vieillesse"</t>
  </si>
  <si>
    <t>1="Des membres de la famille / partenaire"</t>
  </si>
  <si>
    <t>2="Par d'autres personnes"</t>
  </si>
  <si>
    <t>3="Du personnel SPITEX"</t>
  </si>
  <si>
    <t>1="Rente invalidité"</t>
  </si>
  <si>
    <t>2="Prestation d'assistance"</t>
  </si>
  <si>
    <t>3="Indemnité journalière"</t>
  </si>
  <si>
    <t>4="Autre prestation en argent"</t>
  </si>
  <si>
    <t>1="A indiqué l'année"</t>
  </si>
  <si>
    <t>1="Oui, on m'a montré"</t>
  </si>
  <si>
    <t>2="Oui, j'ai reçu un dépliant, infos"</t>
  </si>
  <si>
    <t>1="Au moins 1x par mois"</t>
  </si>
  <si>
    <t>2="Tous les 2 - 3 mois"</t>
  </si>
  <si>
    <t>3="Plus rarement"</t>
  </si>
  <si>
    <t>1="Célibataire"</t>
  </si>
  <si>
    <t>2="Marié(e)"</t>
  </si>
  <si>
    <t>3="Veuf/veuve"</t>
  </si>
  <si>
    <t>4="Divorcé(e)"</t>
  </si>
  <si>
    <t>5="Séparé(e)"</t>
  </si>
  <si>
    <t>1="Epoux(se), partenaire"</t>
  </si>
  <si>
    <t>2="Fils, fille, beau-fils, belle-fille"</t>
  </si>
  <si>
    <t>3="Père, mère, beau-père, belle-mère"</t>
  </si>
  <si>
    <t>4="Frère, soeur"</t>
  </si>
  <si>
    <t>5="Autre parenté"</t>
  </si>
  <si>
    <t>6="Autres membres du ménage"</t>
  </si>
  <si>
    <t>7="En communauté avec un/des amis"</t>
  </si>
  <si>
    <t>1="Ecole obligatoire non fréquentée"</t>
  </si>
  <si>
    <t>2="Ecole obligatoire inachevée"</t>
  </si>
  <si>
    <t>3="Ecole obligatoire achevée"</t>
  </si>
  <si>
    <t>4="Apprentissage ou école professionnelle à plein temps"</t>
  </si>
  <si>
    <t>5="Maturité, école normale, EDD"</t>
  </si>
  <si>
    <t>6="Formation professionnelle supérieure"</t>
  </si>
  <si>
    <t>7="Ecole professionnelle supérieure, école technique"</t>
  </si>
  <si>
    <t>8="Université, haute école, Polytechnicum"</t>
  </si>
  <si>
    <t>1="Suisse"</t>
  </si>
  <si>
    <t>2="Liechtenstein"</t>
  </si>
  <si>
    <t>3="Allemande"</t>
  </si>
  <si>
    <t>4="Autrichienne"</t>
  </si>
  <si>
    <t>5="Italienne"</t>
  </si>
  <si>
    <t>6="française"</t>
  </si>
  <si>
    <t>7="Britannique"</t>
  </si>
  <si>
    <t>8="Espagnole"</t>
  </si>
  <si>
    <t>9="Portugaise"</t>
  </si>
  <si>
    <t>10="République ex-Yougoslavie"</t>
  </si>
  <si>
    <t>11="Turque"</t>
  </si>
  <si>
    <t>12="Reste Europe"</t>
  </si>
  <si>
    <t>13="Nord américaine"</t>
  </si>
  <si>
    <t>14="Américaine du sud ou centrale"</t>
  </si>
  <si>
    <t>15="Africaine"</t>
  </si>
  <si>
    <t>16="asiatique"</t>
  </si>
  <si>
    <t>17="Australienne, océanienne"</t>
  </si>
  <si>
    <t>18="Inconnue, sans nationalité";</t>
  </si>
  <si>
    <t>1="Moins de 2000 frs par mois"</t>
  </si>
  <si>
    <t>2="2000 à 4000 frs par mois"</t>
  </si>
  <si>
    <t>3="4001 à 6000 frs par mois"</t>
  </si>
  <si>
    <t>4="6001 à 9000 frs par mois"</t>
  </si>
  <si>
    <t>5="9001 et plus par mois"</t>
  </si>
  <si>
    <t>1="1 fois par jour ou plus"</t>
  </si>
  <si>
    <t>2="1 fois par semaine ou plus"</t>
  </si>
  <si>
    <t>3="1 fois par mois ou plus"</t>
  </si>
  <si>
    <t>4="1 fois par année ou plus"</t>
  </si>
  <si>
    <t>5="Moins de 1 fois par année, jamais"</t>
  </si>
  <si>
    <t>0="Moins d'une année"</t>
  </si>
  <si>
    <t>1="1 fois"</t>
  </si>
  <si>
    <t>2="2 fois"</t>
  </si>
  <si>
    <t>3="Plus souvent"</t>
  </si>
  <si>
    <t>1="1 fois par semaine ou plus"</t>
  </si>
  <si>
    <t>2="Entre 1 et 3 fois par mois"</t>
  </si>
  <si>
    <t>3="Moins d'1 fois par mois"</t>
  </si>
  <si>
    <t>1="Je me shoote"</t>
  </si>
  <si>
    <t>2="Je fume"</t>
  </si>
  <si>
    <t>3="Je sniffe"</t>
  </si>
  <si>
    <t>4="Je l'avale"</t>
  </si>
  <si>
    <t>1="Le destin et le hasard"</t>
  </si>
  <si>
    <t>2="Sa propre constitution (hérédité)"</t>
  </si>
  <si>
    <t>3="La manière de structurer sa vie"</t>
  </si>
  <si>
    <t>4="La qualité de l'environnement"</t>
  </si>
  <si>
    <t>1 = "15-39 ans"</t>
  </si>
  <si>
    <t>2 = "40-64 ans"</t>
  </si>
  <si>
    <t>3 = "65+ ans"</t>
  </si>
  <si>
    <t>1 = "15-24 ans"</t>
  </si>
  <si>
    <t>2 = "25-44 ans"</t>
  </si>
  <si>
    <t>3 = "45-64 ans"</t>
  </si>
  <si>
    <t>4 = "65+ ans"</t>
  </si>
  <si>
    <t>2 = "25-34 ans"</t>
  </si>
  <si>
    <t>3 = "35-44 ans"</t>
  </si>
  <si>
    <t>4 = "45-54 ans"</t>
  </si>
  <si>
    <t>5 = "55-64 ans"</t>
  </si>
  <si>
    <t>6 = "65-74 ans"</t>
  </si>
  <si>
    <t>7 = "75+ ans"</t>
  </si>
  <si>
    <t>1 = "Zürich"</t>
  </si>
  <si>
    <t>2 = "Bern / Berne"</t>
  </si>
  <si>
    <t>3 = "Luzern"</t>
  </si>
  <si>
    <t>4 = "Uri"</t>
  </si>
  <si>
    <t>5 = "Schwyz"</t>
  </si>
  <si>
    <t>6 = "Obwalden"</t>
  </si>
  <si>
    <t>7 = "Nidwalden"</t>
  </si>
  <si>
    <t>8 = "Glarus"</t>
  </si>
  <si>
    <t>9 = "Zug"</t>
  </si>
  <si>
    <t>10= "Fribourg / Freiburg"</t>
  </si>
  <si>
    <t>11= "Solothurn"</t>
  </si>
  <si>
    <t>12= "Basel-Stadt"</t>
  </si>
  <si>
    <t>13= "Basel-Landschaft"</t>
  </si>
  <si>
    <t>14= "Schaffhausen"</t>
  </si>
  <si>
    <t>15= "Appenzell Ausserrhoden"</t>
  </si>
  <si>
    <t>16= "Appenzell Innerrhoden"</t>
  </si>
  <si>
    <t>17= "St. Gallen"</t>
  </si>
  <si>
    <t>18= "Graubünden / Grigioni / Grischun"</t>
  </si>
  <si>
    <t>19= "Aargau"</t>
  </si>
  <si>
    <t>20= "Thurgau"</t>
  </si>
  <si>
    <t>21= "Ticino"</t>
  </si>
  <si>
    <t>22= "Vaud"</t>
  </si>
  <si>
    <t>23= "Valais / Wallis"</t>
  </si>
  <si>
    <t>24= "Neuchâtel"</t>
  </si>
  <si>
    <t>25= "Genève"</t>
  </si>
  <si>
    <t>26= "Jura"</t>
  </si>
  <si>
    <t>0 = "Non"</t>
  </si>
  <si>
    <t>1 = "Oui"</t>
  </si>
  <si>
    <t>1="Questionnaire téléphonique ET écrit"</t>
  </si>
  <si>
    <t>0="Uniquement questionnaire téléphonique"</t>
  </si>
  <si>
    <t>1="Vit sans se préoccuper de son état santé"</t>
  </si>
  <si>
    <t>2="Style de vie pour maintenir sa santé"</t>
  </si>
  <si>
    <t>3="Considération de santé détermine beaucoup sa manière de vivre"</t>
  </si>
  <si>
    <t>1="Tout à fait d'accord"</t>
  </si>
  <si>
    <t>2="Plutôt d'accord"</t>
  </si>
  <si>
    <t>3="Pas vraiment d'accord"</t>
  </si>
  <si>
    <t>4="Pas du tout d'accord"</t>
  </si>
  <si>
    <t>1="Non"</t>
  </si>
  <si>
    <t>2="Oui, j'ai été en traitement"</t>
  </si>
  <si>
    <t>3="Oui, je suis actuellement en traitement"</t>
  </si>
  <si>
    <t>2="Oui, soigné par moi-même"</t>
  </si>
  <si>
    <t>3="Oui, soigné ambulatoirement"</t>
  </si>
  <si>
    <t>4="Oui, soigné à l'hôpital"</t>
  </si>
  <si>
    <t>1="3 fois par jour ou plus"</t>
  </si>
  <si>
    <t>2="2 fois par jour (lors des repas)"</t>
  </si>
  <si>
    <r>
      <t>%</t>
    </r>
    <r>
      <rPr>
        <i/>
        <sz val="11"/>
        <color rgb="FF000000"/>
        <rFont val="Arial"/>
        <family val="2"/>
      </rPr>
      <t>codes_negatifs</t>
    </r>
    <r>
      <rPr>
        <sz val="11"/>
        <color rgb="FF000000"/>
        <rFont val="Arial"/>
        <family val="2"/>
      </rPr>
      <t>;</t>
    </r>
  </si>
  <si>
    <t>5="1-2 fois par semaine"</t>
  </si>
  <si>
    <t>6="Rarement"</t>
  </si>
  <si>
    <t>7="Jamais"</t>
  </si>
  <si>
    <t>1="3 fois par jour"</t>
  </si>
  <si>
    <t>2="2 fois par jour"</t>
  </si>
  <si>
    <t>4="Presque tous les jours"</t>
  </si>
  <si>
    <t>5="3-4 fois cette semaine"</t>
  </si>
  <si>
    <t>6="1-2 fois cette semaine"</t>
  </si>
  <si>
    <t>1="5 verres/3 bouteilles de 6 dl ou plus"</t>
  </si>
  <si>
    <t>2="3-4 verres/2 bouteilles de 6 dl"</t>
  </si>
  <si>
    <t>3="Jusqu'à 2 verres/1 bouteille de 6 dl"</t>
  </si>
  <si>
    <t>1="Hebdomadairement"</t>
  </si>
  <si>
    <t>2="2-3 fois par mois"</t>
  </si>
  <si>
    <t>4="Moins d'1 fois par mois"</t>
  </si>
  <si>
    <t>1="Plutôt plus"</t>
  </si>
  <si>
    <t>2="Pareil"</t>
  </si>
  <si>
    <t>3="Plutôt moins"</t>
  </si>
  <si>
    <t>1="1/2 litre ou plus"</t>
  </si>
  <si>
    <t>2="3 dl"</t>
  </si>
  <si>
    <t>3="Moins de 3 dl"</t>
  </si>
  <si>
    <t>1="1 litre ou plus"</t>
  </si>
  <si>
    <t>2="Env. 1/2 litre"</t>
  </si>
  <si>
    <t>3="Moins d'un 1/2 litre"</t>
  </si>
  <si>
    <t>1="5-6 verres ou plus"</t>
  </si>
  <si>
    <t>2="3-4 verres"</t>
  </si>
  <si>
    <t>3="1-2 verres"</t>
  </si>
  <si>
    <t>1="Oui, parfois"</t>
  </si>
  <si>
    <t>2="Oui, mais rarement"</t>
  </si>
  <si>
    <t>1="Coché"</t>
  </si>
  <si>
    <t>0="Pas coché"</t>
  </si>
  <si>
    <t>1="En faire moins"</t>
  </si>
  <si>
    <t>2="En font assez"</t>
  </si>
  <si>
    <t>3="En faire plus"</t>
  </si>
  <si>
    <t>1="Oui, pris auparavant"</t>
  </si>
  <si>
    <t>2="Non, jamais pris"</t>
  </si>
  <si>
    <t>1="Durant 1 an au moins"</t>
  </si>
  <si>
    <t>2="Plus d'un an et jusqu'à 3 ans"</t>
  </si>
  <si>
    <t>3="Plus de 3 ans et jusqu'à 5 ans"</t>
  </si>
  <si>
    <t>4="Durant plus de 5 ans"</t>
  </si>
  <si>
    <t>1="Touche 100% du salaire"</t>
  </si>
  <si>
    <t>2="Touche un certain % du salaire normal"</t>
  </si>
  <si>
    <t>3="Salaire intégralement retenu, ne touche rien"</t>
  </si>
  <si>
    <t>1="Par année"</t>
  </si>
  <si>
    <t>2="Par semestre"</t>
  </si>
  <si>
    <t>3="Par trimestre"</t>
  </si>
  <si>
    <t>4="Par mois"</t>
  </si>
  <si>
    <t>1="Pas de franchise"</t>
  </si>
  <si>
    <t>2="150-349 francs"</t>
  </si>
  <si>
    <t>3="350-599 francs"</t>
  </si>
  <si>
    <t>4="600-1199 francs"</t>
  </si>
  <si>
    <t>5="1200 ou plus"</t>
  </si>
  <si>
    <t>1="Moins d'un mois"</t>
  </si>
  <si>
    <t>2="1-3 mois"</t>
  </si>
  <si>
    <t>3="4-6 mois"</t>
  </si>
  <si>
    <t>4="7-12 mois"</t>
  </si>
  <si>
    <t>5="1-3 ans"</t>
  </si>
  <si>
    <t>6="Plus de 3 ans"</t>
  </si>
  <si>
    <t>1="S'arrêter"</t>
  </si>
  <si>
    <t>2="Allez plus lentement"</t>
  </si>
  <si>
    <t>3="Continuer à la même cadence"</t>
  </si>
  <si>
    <t>1="En 10 minutes ou moins"</t>
  </si>
  <si>
    <t>2="Plus de 10 minutes"</t>
  </si>
  <si>
    <t>1="Masculin"</t>
  </si>
  <si>
    <t>2="Féminin"</t>
  </si>
  <si>
    <t>0="Pas allaité"</t>
  </si>
  <si>
    <t>1="Tout au plus durant 6 semaines"</t>
  </si>
  <si>
    <t>2="Entre 7 et 12 semaines"</t>
  </si>
  <si>
    <t>3="Durant plus de 3 mois"</t>
  </si>
  <si>
    <t>4="Allaité, mais souviens plus combien"</t>
  </si>
  <si>
    <t>1="Oui, une influence assez forte"</t>
  </si>
  <si>
    <t>2="Certaine influence"</t>
  </si>
  <si>
    <t>3="Très peu ou pas d'influence"</t>
  </si>
  <si>
    <t>1="15-24 ans"</t>
  </si>
  <si>
    <t>2="25-34 ans"</t>
  </si>
  <si>
    <t>3="35-44 ans"</t>
  </si>
  <si>
    <t>4="45-54 ans"</t>
  </si>
  <si>
    <t>5="55-64 ans"</t>
  </si>
  <si>
    <t>6="65-74 ans"</t>
  </si>
  <si>
    <t>7="75+ ans";</t>
  </si>
  <si>
    <t>2="25-44 ans"</t>
  </si>
  <si>
    <t>3="45-64 ans"</t>
  </si>
  <si>
    <t>4="65+ ans";</t>
  </si>
  <si>
    <t>1="15-39 ans"</t>
  </si>
  <si>
    <t>2="40-64 ans"</t>
  </si>
  <si>
    <t>3="65+ ans";</t>
  </si>
  <si>
    <t>1="Allemand"</t>
  </si>
  <si>
    <t>2="Français"</t>
  </si>
  <si>
    <t>3="Italien" ;</t>
  </si>
  <si>
    <t>1="Papier"</t>
  </si>
  <si>
    <t>2="Online" ;</t>
  </si>
  <si>
    <t>1="Zürich"</t>
  </si>
  <si>
    <t>2="Bern"</t>
  </si>
  <si>
    <t>3="Luzern"</t>
  </si>
  <si>
    <t>4="Uri"</t>
  </si>
  <si>
    <t>5="Schwyz"</t>
  </si>
  <si>
    <t>6="Obwalden"</t>
  </si>
  <si>
    <t>7="Nidwalden"</t>
  </si>
  <si>
    <t>8="Glarus"</t>
  </si>
  <si>
    <t>9="Zug"</t>
  </si>
  <si>
    <t>10="Fribourg"</t>
  </si>
  <si>
    <t>11="Solothurn"</t>
  </si>
  <si>
    <t>12="Basel-Stadt"</t>
  </si>
  <si>
    <t>13="Basel-Land"</t>
  </si>
  <si>
    <t>14="Schaffhausen"</t>
  </si>
  <si>
    <t>15="Appenzell a.Rh."</t>
  </si>
  <si>
    <t>16="Appenzell i.Rh."</t>
  </si>
  <si>
    <t>17="St.Gallen"</t>
  </si>
  <si>
    <t>18="Graubünden"</t>
  </si>
  <si>
    <t>19="Aargau"</t>
  </si>
  <si>
    <t>20="Thurgau"</t>
  </si>
  <si>
    <t>21="Ticino"</t>
  </si>
  <si>
    <t>22="Vaud"</t>
  </si>
  <si>
    <t>23="Valais"</t>
  </si>
  <si>
    <t>24="Neuchâtel"</t>
  </si>
  <si>
    <t>25="Genève"</t>
  </si>
  <si>
    <t>26="Jura";</t>
  </si>
  <si>
    <t>0="Non"</t>
  </si>
  <si>
    <t>1="Oui";</t>
  </si>
  <si>
    <t>le même que geschlecht_cd_t mais verifié et éventuellement corrigé par le processus de codage</t>
  </si>
  <si>
    <t>le même que geburt_d mais verifié et éventuellement corrigé par le processus de codage</t>
  </si>
  <si>
    <t>le même que  geburt_std_n mais verifié et éventuellement corrigé par le processus de codage</t>
  </si>
  <si>
    <t>le même que ereignis_d mais verifié et éventuellement corrigé par le processus de codage</t>
  </si>
  <si>
    <t>le même que ereignis_std_n mais verifié et éventuellement corrigé par le processus de codage</t>
  </si>
  <si>
    <t>A000 - Z999</t>
  </si>
  <si>
    <t>001-999</t>
  </si>
  <si>
    <t>00-99</t>
  </si>
  <si>
    <t>1-50</t>
  </si>
  <si>
    <t>1-150</t>
  </si>
  <si>
    <t>1-25</t>
  </si>
  <si>
    <t>1969 - 78: 999
1979 - 94: 1-100</t>
  </si>
  <si>
    <t>1969-94:
0
1
2
9
dés 1995:
.
1
2
9</t>
  </si>
  <si>
    <t>1969-78:
1
2
3
1979-86:
1
2
3
4
5
6</t>
  </si>
  <si>
    <t xml:space="preserve">A-Z
</t>
  </si>
  <si>
    <t>0
1
2
9</t>
  </si>
  <si>
    <t xml:space="preserve">1
2
3
</t>
  </si>
  <si>
    <t>WORT_AKT_ST_N</t>
  </si>
  <si>
    <t>8201 - 8999</t>
  </si>
  <si>
    <t>Etat</t>
  </si>
  <si>
    <t>0-99999999</t>
  </si>
  <si>
    <t>1-9999999</t>
  </si>
  <si>
    <t>La base de données contient également des entrées pour les "enfants" de plus de 18 ans.</t>
  </si>
  <si>
    <t>0 - 12
999</t>
  </si>
  <si>
    <t>La base de données contient également des entrées pour les "enfants" de plus d'un an.</t>
  </si>
  <si>
    <t>La maladie concerne
1
2
9</t>
  </si>
  <si>
    <t>0 -23
999
0 -671</t>
  </si>
  <si>
    <t>0 - 30
999
0 - 365</t>
  </si>
  <si>
    <t>Commentaires</t>
  </si>
  <si>
    <t>N'apparaît pas dans l'enregistrement original.</t>
  </si>
  <si>
    <t>Toutes les catégories de domicile (WKAT = 1, 2, 3)
Couple non marié seulement s'il est chef de ménage
Le P-EPNR nous renseigne à propos de la situation dans le ménage</t>
  </si>
  <si>
    <t>Les personnes ne formant pas un couple
Les personnes avec WKAT = 2 ne sont pas comprises dans le contexte du ménage au domicile économique
Couple non marié seulement s'il est chef de ménage
Le P-EPNRW nous renseigne à propos de la situation dans le ménage</t>
  </si>
  <si>
    <t>Provenant des données existantes</t>
  </si>
  <si>
    <t>Liste 9
Aucune indication</t>
  </si>
  <si>
    <t>Combinaison de toutes les caractéristiques prises en compte</t>
  </si>
  <si>
    <t>Scolarité obligatoire
Formation professionnelle
École préparant à la maturité
Formation professionnelle supérieure
École professionnelle supérieure
Université, haute école
Autre formation ou formation inconnue
Âge préscolaire, pas (plus) en formation</t>
  </si>
  <si>
    <t>Aucune formation scolaire ou professionnelle
Scolarité obligatoire
Formation professionnelle
École préparant à la maturité
Formation professionnelle supérieure
École professionnelle supérieure
Université, haute école
Autre formation
Sans indication</t>
  </si>
  <si>
    <t>De 1 jusqu'à 4 diplômes classés d'après le niveau acquis le plus élevé (Pos. 12 du Code)
1. Position = division (3+4 réunies)
1./2. Position = Classe
1.-3. Position = Groupe
1.-5. Position = Genre
1.-10. Position = Description du diplôme conformément au registre des professions
11. Position = Code de langue pour le texte de la profession (1, 2, 3, 4 pour al, fr, it, ro)
12. Position = 3 - 8: relatif aux niveaux de formation BLAB - AAAB
13. Position = 1: Code valable pour la formation et l'activité professionnelle
= 2: Code valable pour la formation 
= 3: Code valable pour l'activité professionnelle</t>
  </si>
  <si>
    <t>Analogue au P-BCO1</t>
  </si>
  <si>
    <t>Liste 13
Sans indication</t>
  </si>
  <si>
    <t>Indépendant
Collaborateur dans l'entreprise familiale
Apprenti/e
Cadre supérieur
Cadre moyen ou inférieur
Employé, ouvrier 
Sans indication</t>
  </si>
  <si>
    <t>Dans la profession actuelle ou exercée dernièrement</t>
  </si>
  <si>
    <t>Liste 14
Non actif occupé
Sans indication</t>
  </si>
  <si>
    <t>Liste 15
Genre d'activité économique inconnu
Non actif occupé
Pas en formation</t>
  </si>
  <si>
    <t>Rérérence: Nomenclature générale des activités économiques, 1985 (complétée)
Subdivision des activités économiques:
1.Position = Division
1/2.Position = Classe
1-3.Position = Groupe
1-4.Position = Genre
WART=5600: Code non valable (1 cas). WART=5600 doit être recodé à 5610. (Cette correction concerne tous les fichiers reçus avant le 1.1.1994 )</t>
  </si>
  <si>
    <t>Liste 16
Non actif occupé
Pas en formation</t>
  </si>
  <si>
    <t>Liste 17
Forme juridique inconnue
Non actif occupé
Pas en formation</t>
  </si>
  <si>
    <t>Liste officielle des communes de la Suisse au 04.déc.90
Inconnu
Si domicile économique (WKAT = 1,3)
Allemagne, France, Italie, Principauté du Liechtenstein
Autriche
Si domicile légal (WKAT = 2) et lorsque le domicile économique est à l'étranger, alors Code des Etats et des territoires
Etranger inconnu
Non actif occupé
Pas en formation</t>
  </si>
  <si>
    <t>Liste 18
Non actif occupé
Pas en formation</t>
  </si>
  <si>
    <t>Seulement pour des communes déterminées</t>
  </si>
  <si>
    <t>Seulement pour les cantons de LU, GE et pour les villes de Berne et Lausanne</t>
  </si>
  <si>
    <t>Aucun trajet du domicile au lieu de travail ou à l'école
Jusqu'à 1/4 heure
Plus de 1/4 heure jusqu'à 1/2 heure
Plus de 1/2 heure jusqu'à 3/4 heure.
Plus de 3/4 heure jusqu'à 1 heure.
Plus de 1 heure.
Sans indication
Non actif occupé
Pas en formation</t>
  </si>
  <si>
    <t>Une fois par jour
Deux fois par jour ou plus
Sans indication
Non actif occupé
Pas en formation</t>
  </si>
  <si>
    <t>Liste 19
Sans indication
Non actif occupé
Pas en formation</t>
  </si>
  <si>
    <t>Données multiples possibles</t>
  </si>
  <si>
    <t>Cantons ZH - JU, Liste 1
N'existe pas</t>
  </si>
  <si>
    <t>Communes de la Suisse
N'existe pas</t>
  </si>
  <si>
    <t>Voir Liste officielle des communes de la Suisse 1990</t>
  </si>
  <si>
    <t>Quartiers définis dans certaines villes
Attribution d'un secteur entier</t>
  </si>
  <si>
    <t>N'existe pas</t>
  </si>
  <si>
    <t>Attribués par les communes
En partie numérotation systématique pour la constitution des codes quartiers</t>
  </si>
  <si>
    <t>À l'intérieur d'un secteur de recensement
N'existe pas</t>
  </si>
  <si>
    <t>À l'intérieur du bâtiment
N'existe pas</t>
  </si>
  <si>
    <t>Ménage de sous-locataire du 1er sous-locataire
Ménage de sous-locataire du 2ème sous-locataire
Ménage de sous-locataire du 3ème sous-locataire
Détenteur d'un logement
Ménage collectif</t>
  </si>
  <si>
    <t>Trois sous-locataires au maximum par logement</t>
  </si>
  <si>
    <t>Le ménage est constitué de personnes avec WKAT =1 ou de personnes avec différentes WKAT
Le ménage est constitué seulement de personnes avec WKAT = 2
Le ménage est constitué seulement de personnes avec WKAT = 3
N'existe pas</t>
  </si>
  <si>
    <t>Ménage exclusivement "légal"
Ménage exclusivement "économique"</t>
  </si>
  <si>
    <t>Type du ménage privé, Liste 6
Genre de ménage collectif
Seulement WKAT=2 dans le ménage</t>
  </si>
  <si>
    <t>Nombre d'enregistrements-personnes
N'existe pas</t>
  </si>
  <si>
    <t>Nombre d'enregistrements-personnes
Personnes avec WKAT=2,3 dans le ménage</t>
  </si>
  <si>
    <t>Nombre d'enregistrement-personnes avec WKAT = 1
Dans les ménages privés, max. 25 personnes</t>
  </si>
  <si>
    <t>Nombre d'enregistrement-personnes avec WKAT = 1,3
Dans les ménages privés, max. 25 personnes</t>
  </si>
  <si>
    <t>Nombre d'enfants célibataires avec STHH=21
Aucun enfant célibataire dans le ménage
Ménage collectif</t>
  </si>
  <si>
    <t>Seulement les enfants célibataires</t>
  </si>
  <si>
    <t>Nombre d'enfants célibataires en dessous de 20 ans avec STHH=21
Aucun enfant célibataire en dessous de 20 ans dans le ménage
Ménage collectif</t>
  </si>
  <si>
    <t>Nombre d'enfants célibataires de 20 à 24 ans avec STHH=21
Aucun enfant célibataire de 20-24 dans le ménage
Ménage collectif</t>
  </si>
  <si>
    <t>Nombre d'enfants célibataires de 25 à 29 ans avec STHH=21
Aucun enfant célibataire de 25-29 ans dans le ménage Ménage collectif</t>
  </si>
  <si>
    <t>Nombre d'enfants resp. (beau-)fils et (belle-)fille dans le ménage (STHH=21) cf. Enregistrement-personne
Aucun enfant dans le ménage
Ménage collectif</t>
  </si>
  <si>
    <t>Nombre d'enregistrements-personnes
Seulement WKAT=2 dans le ménage</t>
  </si>
  <si>
    <t>Type du ménage privé, Liste 6
Genre de ménage collectif
N'existe pas</t>
  </si>
  <si>
    <t>Nombre d'enfants célibataires de 30 ans et plus avec STHH=21
Aucun enfant célibataire de 30 ans et plus dans le ménage Ménage collectif</t>
  </si>
  <si>
    <t>Nombre d'enfants célibataires âgés de moins d'un an avec STHH=21
Aucun enfant célibataire de moins d'un an dans le ménage Ménage collectif</t>
  </si>
  <si>
    <t>Nombre d'enfants célibataires âgés de 1 an avec STHH=21
Aucun enfant célibataire d'un an dans le ménage
Ménage collectif</t>
  </si>
  <si>
    <t>Nombre d'enfants célibataires âgés de 2 ans avec STHH=21
Aucun enfant célibataire de 2 ans dans le ménage
Ménage collectif</t>
  </si>
  <si>
    <t>Nombre d'enfants célibataires âgés de 3 ans avec STHH=21
Aucun enfant célibataire de 3 ans dans le ménage
Ménage collectif</t>
  </si>
  <si>
    <t>Nombre d'enfants célibataires âgés de 4 ans avec STHH=21
Aucun enfant célibataire de 4 ans dans le ménage 
Ménage collectif</t>
  </si>
  <si>
    <t>Nombre d'enfants célibataires âgés de 5 ans avec STHH=21
Aucun enfant célibataire de 5 ans dans le ménage
Ménage collectif</t>
  </si>
  <si>
    <t>Nombre d'enfants célibataires âgés de 6 ans avec STHH=21
Aucun enfant célibataire de 6 ans dans le ménage
Ménage collectif</t>
  </si>
  <si>
    <t>Nombre d'enfants célibataires âgés de 7 ans avec STHH=21
Aucun enfant célibataire de 7 ans dans le ménage
Ménage collectif</t>
  </si>
  <si>
    <t>Nombre d'enfants célibataires âgés de 8 ans avec STHH=21
Aucun enfant célibataire de 8 ans dans le ménage
Ménage collectif</t>
  </si>
  <si>
    <t>Nombre d'enfants célibataires âgés de 9 ans avec STHH=21
Aucun enfant célibataire de 9 ans dans le ménage
Ménage collectif</t>
  </si>
  <si>
    <t>Nombre d'enfants célibataires âgés de 10 ans avec STHH=21
Aucun enfant célibataire de 10 ans dans le ménage
Ménage collectif</t>
  </si>
  <si>
    <t>Nombre d'enfants célibataires âgés de 11 ans avec STHH=21
Aucun enfant célibataire de 11 ans dans le ménage
Ménage collectif</t>
  </si>
  <si>
    <t>Nombre d'enfants célibataires âgés de 12 ans avec STHH=21
Aucun enfant célibataire de 12 ans dans le ménage
Ménage collectif</t>
  </si>
  <si>
    <t>Nombre d'enfants célibataires âgés de 13 ans avec STHH=21
Aucun enfant célibataire de 13 ans dans le ménage
Ménage collectif</t>
  </si>
  <si>
    <t>Nombre d'enfants célibataires âgés de 14 ans avec STHH=21
Aucun enfant célibataire de 14 ans dans le ménage
Ménage collectif</t>
  </si>
  <si>
    <t>Nombre d'enfants célibataires âgés de 15 ans avec STHH=21
Aucun enfant célibataire de 15 ans dans le ménage
Ménage collectif</t>
  </si>
  <si>
    <t>Nombre d'enfants célibataires âgés de 16 ans avec STHH=21
Aucun enfant célibataire de 16 ans dans le ménage 
Ménage collectif</t>
  </si>
  <si>
    <t>Nombre d'enfants célibataires âgés de 17 ans avec STHH=21
Aucun enfant célibataire de 17 ans dans le ménage 
Ménage collectif</t>
  </si>
  <si>
    <t>Nombre d'enfants célibataires âgés de 18 ans avec STHH=21
Aucun enfant célibataire de 18 ans dans le ménage 
Ménage collectif</t>
  </si>
  <si>
    <t>Nombre d'enfants célibataires âgés de 19 ans avec STHH=21
Aucun enfant célibataire de 19 ans dans le ménage 
Ménage collectif</t>
  </si>
  <si>
    <t>Nombre de fils célibataires âgés de 6 ans et moins avec STHH=21
Aucun fils célibataire de moins de 6 ans dans le ménage  Ménage collectif</t>
  </si>
  <si>
    <t>Nombre de filles célibataires âgées de 6 ans et moins avec STHH=21
Aucune fille célibataire de moins de 6 ans dans le ménage Ménage collectif</t>
  </si>
  <si>
    <t>Nombre de fils célibataires âgés de 7-15 ans avec STHH=21
Aucun fils célibataire de 7-15 ans dans le ménage 
Ménage collectif</t>
  </si>
  <si>
    <t>Nombre de filles célibataires âgées de 7-15 ans avec STHH=21
Aucune fille célibataire de 7-15 ans dans le ménage 
Ménage collectif</t>
  </si>
  <si>
    <t>Nombre de fils célibataires âgés de plus de 16 ans avec STHH=21
Aucun fils célibataire de 16 ans et plus dans le ménage Ménage collectif</t>
  </si>
  <si>
    <t>Nombre de personnes avec STHH=24: Situation dans le ménage = autre parent du/des chef(s) de ménage
Aucune autre parenté dans le ménage
Ménage collectif</t>
  </si>
  <si>
    <t>Nombre de personnes  de 65 ans et plus
Aucune personne de 65 ans et plus dans le ménage</t>
  </si>
  <si>
    <t>Nombre de personnes de 80 ans et plus
Aucune personne de 80 ans et plus dans le ménage</t>
  </si>
  <si>
    <t>Nombre de couples (mariés) dans le ménage
Aucun couple marié dans le ménage 
Ménage collectif</t>
  </si>
  <si>
    <t>Nombre de personnes qui sont actives occupées et actives non occupées
Aucune personne active ou ménage collectif</t>
  </si>
  <si>
    <t xml:space="preserve">Nombre de personnes qui sont actives occupées
Aucune personne active occupée
Ménage collectif
</t>
  </si>
  <si>
    <t>Nombre de personnes qui sont actives occupées à plein temps
Aucun personne active occupée à plein temps ou ménage collectif</t>
  </si>
  <si>
    <t>Nombre de personnes qui sont actives occupées à temps partiel
Aucune personne active occupée à temps partiel 
Ménage collectif</t>
  </si>
  <si>
    <t>Indépendant du nombre d'emplois</t>
  </si>
  <si>
    <t>Nombre de personnes qui sont actuellement chômeur
Aucun chômeur
Ménage collectif</t>
  </si>
  <si>
    <t>Aussi bien les personnes avec un emploi futur garanti que celles à la recherche d'un emploi</t>
  </si>
  <si>
    <t>Nombre de personnes de 15 ans et plus qui se trouvent actuellement en formation
Aucune personne de 15 ans et plus en formation 
Ménage collectif</t>
  </si>
  <si>
    <t>Sans les apprentis, ces derniers sont considérés comme des personnes actives occupées</t>
  </si>
  <si>
    <t>Nombre de rentier ou retraité
Aucun rentier ou retraité 
Ménage collectif</t>
  </si>
  <si>
    <t>Nombre de personnes de moins de 16 ans 
Aucune personne de 16 ans
Ménage collectif</t>
  </si>
  <si>
    <t>Nombre d'enfants actifs occupés avec STHH=21
Aucun enfant actif occupé 
Ménage collectif</t>
  </si>
  <si>
    <t>Indépendant de P-ZIVL; âgés de 16 ans et plus</t>
  </si>
  <si>
    <t>Nombre d'enfants célibataires actifs occupés avec STHH=21
Aucun enfant célibataire actif occupé 
Ménage collectif</t>
  </si>
  <si>
    <t>Pour les données manquantes a été codé 01</t>
  </si>
  <si>
    <t>Si le mois de naissance = 1, 3, 5, 7, 8, 10, 12
Si le mois de naissance = 4, 6, 9, 11
Si le mois de naissance = 2 et si l'année est bissextile
Ménage collectif</t>
  </si>
  <si>
    <t>Janvier - Décembre
Ménage collectif</t>
  </si>
  <si>
    <t>Années
Ménage collectif</t>
  </si>
  <si>
    <t>Célibataire
Marié (séparé inclus)
Veuf
Divorcé
N'existe pas</t>
  </si>
  <si>
    <t>Lorsque le couple marié est chef de ménage
Lorsque le couple non marié est chef de ménage
Les personnes ne formant pas un couple 
Ménage collectif</t>
  </si>
  <si>
    <t>Voir codes des Etats 1990, Liste 4
Pays d'origine inconnu
Suisse
Ménage collectif</t>
  </si>
  <si>
    <t>Scolarité obligatoire
Formation professionnelle
École préparant à la maturité
Formation professionnelle supérieure
École professionnelle supérieure
Université, haute école
Autre formation
Formation inconnue
Âge préscolaire
Pas (plus) en formation
Ménage collectif</t>
  </si>
  <si>
    <t>Aucune formation scolaire ou professionnelle
Scolarité obligatoire
Formation professionnelle
École préparant à la maturité
Formation professionnelle supérieure
École professionnelle supérieure
Université, haute école
Autre formation
Sans indication
Ménage collectif</t>
  </si>
  <si>
    <t>Liste 10
Ménage collectif</t>
  </si>
  <si>
    <t>Liste 11
Ménage collectif</t>
  </si>
  <si>
    <t>Liste 13
Ménage collectif</t>
  </si>
  <si>
    <t>Voir Nomenclature des professions (Liste 12)
Le registre des professions (Code des professions à 13 positions) est disponible sur demande auprès de l'OFS.
- Ménage collectif
- Pour les personnes actives: n'existe pas
- Pour les personnes non actives: aucune indication sur la dernière profession exercée respec. personne n'ayant encore jamais été active occupée</t>
  </si>
  <si>
    <t>Indépendant
Collaborateur dans l'entreprise familiale
Apprenti/e
Cadre supérieur
Cadre moyen ou inférieur
Employé, ouvrier 
Sans indication
Aucune profession actuelle
Aucune dernière profression exercée
Ménage collectif</t>
  </si>
  <si>
    <t>Dans la profession actuelle ou dernièrement exercée</t>
  </si>
  <si>
    <t xml:space="preserve">Liste 15
Genre d'activité économique inconnue
Ménage collectif
Non actif occupé
Pas en formation
</t>
  </si>
  <si>
    <t>Liste 17
Forme juridique inconnue
Non actif occupé
Pas en formation
Ménage collectif</t>
  </si>
  <si>
    <t>Nombre d'heures par semaine (en tout) 
Aucune indication
Non actif occupé
Ménage collectif</t>
  </si>
  <si>
    <t>Si le mois de naissance = 1, 3, 5, 7, 8, 10, 12
Si le mois de naissance = 4, 6, 9, 11
Si le mois de naissance = 2 et si l'année est bissextile
Ménage collectif
Ménage privé
Chef de ménage n'est pas un couple</t>
  </si>
  <si>
    <t>Janvier - Décembre
Ménage collectif
Ménage privé
Chef de ménage n'est pas un couple</t>
  </si>
  <si>
    <t>Années
Ménage collectif
Ménage privé
Chef de ménage n'est pas un couple</t>
  </si>
  <si>
    <t>0-1
1-4
5-9
10-14
…
95-109
Ménage collectif
Ménage privé
Chef de ménage n'est pas un couple</t>
  </si>
  <si>
    <t>Masculin
Féminin
Ménage collectif
Ménage privé
Chef de ménage n'est pas un couple</t>
  </si>
  <si>
    <t>Célibataire
Marié (séparé inclus)
Veuf
Divorcé
Ménage collectif
Chef de ménage n'est pas un couple</t>
  </si>
  <si>
    <t>Lorsque le couple marié est chef de ménage
Lorsque le couple non marié est chef de ménage
Pas en couple
Ménage collectif
Ménage privé
Le chef de ménage n'est pas un couple</t>
  </si>
  <si>
    <t>Voir codes des Etats 1990, Liste 4
Pays d'origine inconnu
Suisse
Ménage collectif 
Chef de ménage n'est pas un couple</t>
  </si>
  <si>
    <t>Permis d'établissement (C)
Permis de séjour annuel (B)
Permis de saisonnier (A)
Requérant d'asile
Autorisation du DFAE
Autorisation de séjour de courte durée / autre statut
Sans indication
Suisse
Ménage collectif
Chef de ménage n'est pas un couple</t>
  </si>
  <si>
    <t>Scolarité obligatoire
Formation professionnelle
École préparant à la maturité
Formation professionnelle supérieure
École professionnelle supérieure
Université, haute école
Autre formation 
Formation inconnue
Âge préscolaire
Pas (plus) en formation
Ménage collectif
Chef de ménage n'est pas en couple</t>
  </si>
  <si>
    <t>Aucune formation scolaire ou professionnelle
Scolarité obligatoire
Formation professionnelle
École préparant à la maturité
Formation professionnelle supérieure
École professionnelle supérieure
Université, haute école
Autre formation
Sans indication
Ménage collectif
Ménage privé
Chef de ménage n'est pas en couple
Âge préscolaire</t>
  </si>
  <si>
    <t>Liste 10
Ménage collectif
Chef de ménage n'est pas en couple</t>
  </si>
  <si>
    <t>Liste 11
Ménage collectif
Ménage privé
Chef de ménage n'est pas en couple</t>
  </si>
  <si>
    <t>Liste 13
Ménages collectif
Chef de ménage n'est pas en couple</t>
  </si>
  <si>
    <t xml:space="preserve">Voir Nomenclature des professions (Liste 12)
Ménage collectif
Ménage privé
Chef de ménage n'est pas en couple
- Pour les personnes actives: n'existe pas
- Pour les personnes non actives: aucune indication sur la dernière profession exercée respec. personne n'ayant encore jamais été active occupée
</t>
  </si>
  <si>
    <t>Indépendant
Collaborateur dans l'entreprise familiale
Apprenti/e
Cadre supérieur
Cadre moyen ou inférieur
Employé, ouvrier 
Sans indication
Aucune profession actuelle
Aucune dernière profression exercée
Ménage collectif
Chef de ménage n'est pas en couple</t>
  </si>
  <si>
    <t>Liste 15
Genre d'activité économique inconnu
Pas en formation
Ménage collectif
Ménage privé
Chef de ménage n'est pas un couple</t>
  </si>
  <si>
    <t>Liste 17
Forme juridique inconnue
Non actif occupé
Pas en formation
Ménage collecif 
Ménage privé
Chef de ménage n'est pas un couple</t>
  </si>
  <si>
    <t>Nombre d'heures par semaine (en tout) 
Aucune indication
Non actif occupé
Ménage collectif
Chef de ménage n'est pas un couple</t>
  </si>
  <si>
    <t>Coordonnées métriques ou hectométriques sur l'axe Est-Ouest
N'existe pas</t>
  </si>
  <si>
    <t>Coordonnées métriques ou hectométriques sur l'axe Nord-Sud
N'existe pas</t>
  </si>
  <si>
    <t>Cantons ZH et TG
Les autres cantons</t>
  </si>
  <si>
    <t xml:space="preserve">Bâtiment comprenant uniquement des logements non occupés en permanence
Bâtiment non habité, à usage exclusivement collectif
Bâtiment habité ou habitation de fortune, à usage exclusivement collectif (pas de ménage privé, pas de logement)
Bâtiment habité uniquement sous l'angle légal, aucune unité-logement n'a une cuisine ou une cuisinette
Bâtiment habité comprenant au minimum un ménage privé ou un logement OU Habitation de fortune habitée par au moins 1 ménage privé
</t>
  </si>
  <si>
    <t>Le code 7 signifie que le bâtiment doit être ignoré sous l'angle économique</t>
  </si>
  <si>
    <t>Le code 7 signifie que le bâtiment doit être ignoré sous l'angle légal</t>
  </si>
  <si>
    <t>Nombre d'enregistrements
Ménage sans référence</t>
  </si>
  <si>
    <t>Lorsque H-GART = 4, seuls les champs
H-BARW/Z , H-WAPTO, H-APWS, H-WAPZR et H-WTYP  comprennent des valeurs &gt; 0. 
Si l'habitation de fortune est occupée par un ménage collectif, le champ H-CKHH comporte également une valeur &gt; 0.</t>
  </si>
  <si>
    <t>Rénovés entre 1961 et 1970
Rénovés entre 1971 et 1980
Rénovés entre 1981 et 1985
Rénovés entre 1986 et 1990
Pas de rénovation (H-RENO=2) ou habitation de fortune (H-GART=4) ou enregistrement-bâtiment fictic (H-GART=5)</t>
  </si>
  <si>
    <t>Champs à 2 positions, les 2 indications sont triées par ordre croissant</t>
  </si>
  <si>
    <t>Nombre
Pas d'unité-logement dans le bâtiment ou Habitation de fortune (H-GART=4) ou enregistrement bâtiment fictif (H-GART=5)</t>
  </si>
  <si>
    <t>Nombre
Pas d'unité-logement dans le bâtiment selon le domicile économique dans le bâtiment ou Habitation de fortune (H-GART=4) ou enregistrement bâtiment fictif (H-GART=5)</t>
  </si>
  <si>
    <t>Nombre
Pas d'unité-logement dans le bâtiment selon le domicile légal dans le bâtiment ou Habitation de fortune (H-GART=4) ou enregistrement bâtiment fictif (H-GART=5)</t>
  </si>
  <si>
    <t>Nombre
Pas de logement habité temporairement selon le domicile économique dans le bâtiment ou Habitation de fortune (H-GART=4) ou enregistrement bâtiment fictif (H-GART=5)</t>
  </si>
  <si>
    <t>Nombre
Pas de logement habité temporairement selon le domicile légal dans le bâtiment ou Habitation de fortune (H-GART=4) ou enregistrement bâtiment fictif (H-GART=5)</t>
  </si>
  <si>
    <t>Nombre
Pas de logement habité vacant ou vide dans le bâtiment ou Habitation de fortune (H-GART=4) ou enregistrement bâtiment fictif (H-GART=5)</t>
  </si>
  <si>
    <t>Nombre
Bâtiment non habité ou Habitation de fortune (H-GART=4) ou enregistrement bâtiment fictif (H-GART=5)</t>
  </si>
  <si>
    <t>Nombre
Bâtiment non habité sous l'angle économique ou Habitation de fortune (H-GART=4) ou enregistrement bâtiment fictif (H-GART=5)</t>
  </si>
  <si>
    <t>Nombre
Bâtiment non habité sous l'angle légal ou Habitation de fortune (H-GART=4) ou enregistrement bâtiment fictif (H-GART=5)</t>
  </si>
  <si>
    <t>Enregistrement-logement normal
Enregistrement-logement fusionné (résultat d'une fusion)
Enregistrement-logement de base (avant la fusion)
Non autorisé</t>
  </si>
  <si>
    <t>Les exploitations de l'OFS seront réalisés avec les enregistrments-logements fusionnés, c'est-à-dire H-STAT02 = F</t>
  </si>
  <si>
    <t>Nombre
Il ne s'agit pas d'une unité-logement (H-KATW/Z =2 et H-HHTP &lt; 4000 ou H-KATW/Z = 0 ou 3 et H-HHTP &gt; 9000) ou Habitation de fortune (H-GART =4) ou Enregistrement-logement fictif (H-BARW/Z=0)</t>
  </si>
  <si>
    <t>Nombre
Unité-logement sans indication de surface ou il ne s'agit pas d'une unité-logement (H-KATW/Z =2 et H-HHTP &lt; 4000 ou H-KATW/Z = 0 ou 3 et H-HHTP &gt; 9000) ou Habitation de fortune (H-GART =4) ou Enregistrement-logement fictif (H-BARW/Z=0)</t>
  </si>
  <si>
    <r>
      <t>Ce champ porte une valeur</t>
    </r>
    <r>
      <rPr>
        <sz val="11"/>
        <color theme="1"/>
        <rFont val="Arial"/>
        <family val="2"/>
      </rPr>
      <t>: lorsque le logement est occupé en permanence sous l'angle économique (H-BARW = 1) ou lorsqu'il est occupé temporairement sous l'angle économique (H-BARW = 2) et occupé en permanence sous l'angle légal (H-BARZ = 1)</t>
    </r>
  </si>
  <si>
    <t>Loyer
Logement vacant ou vide ou unité-logement occupée par un locataire ou un coopérateur sans indication de loyer ou L'occupant du logement n'est ni locataire, ni coopérateur (H-BTYP &gt; 2) ou Il ne s'agit pas d'une  unité-logement (H-KATW/Z =2 et H-HHTP &lt; 4000  ou H-KATW/Z = 0 ou 3 et H-HHTP &gt; 9000) ou Habitation de fortune (H-GART=4) ou Enregistrement-logement fictif (H-BARW/Z=0)</t>
  </si>
  <si>
    <t>Nombre
Pas de pièce d'habitation indépendante</t>
  </si>
  <si>
    <t>Numéro
Pas de ménage de sous-locataires</t>
  </si>
  <si>
    <t>Numéro
Pas de 2e et 3e ménage de sous-locataires</t>
  </si>
  <si>
    <t>Numéro
Pas de 3e ménage de sous-locataires</t>
  </si>
  <si>
    <t>Nombre
Aucun ménage de sous-locataires</t>
  </si>
  <si>
    <t>Nombre
Aucun ménage de sous-locataire</t>
  </si>
  <si>
    <t>Nombre
Logement vacant ou vide</t>
  </si>
  <si>
    <t>Nombre
Logement vacant ou vide ou logement occupé temporairement sous l'angle économique</t>
  </si>
  <si>
    <t>Nombre
Logement vacant ou vide ou logement occupé temporairement sous l'angle légal</t>
  </si>
  <si>
    <t>Surface
Unité-logement sans indication de surface (H-FLAE = 0) ou Pas d'habitant dans le logement (H-HHNR = 0) ou Il ne s'agit pas d'une unité-logement (H-KATW/Z =2 et H-HHTP &lt; 4000  ou H-KATW/Z = 0 ou 3 et H-HHTP &gt; 9000) ou Habitation de fortune (H-GART=4) ou Enregistrement-logement fictif (H-BARW/Z=0)</t>
  </si>
  <si>
    <t xml:space="preserve">Surface
Enregistrement-logement sans indication de loyer (H-MIET = 0) ou de surface (H-FLAE = 0) (voir H-MIET et H-FLAE)
</t>
  </si>
  <si>
    <t>Logement ayant une cuisine ou une cuisinette
Unité-logement sans cuisine
Ménage privé dans habitation de fortune
Ménage collectif dans type de bâtiments 1,2,3
Ménage collectif dans habitation de fortune (type de bâtiments = 4)
Locaux destinés à un ménage collectif dans type de bâtiments 1,2,3
Ménage sans référence</t>
  </si>
  <si>
    <t>Bâtiment 
Logement
Pas admis</t>
  </si>
  <si>
    <t>C'est par cette indication que l'on sélectionne soit des enregistrements-bâtiment, soit des enregistrements-
logement. Champ commun (bât./log.)</t>
  </si>
  <si>
    <t>Voir Répertoire des communes 1990
Pas admis</t>
  </si>
  <si>
    <t>Champ commun (bât./log.)</t>
  </si>
  <si>
    <t xml:space="preserve">Champ commun (bât./log.)
</t>
  </si>
  <si>
    <t>Enregistrement pris en compte dans le TGP</t>
  </si>
  <si>
    <t>Quartiers définis dans certaines villes. 
Champ commun (bât./log.)</t>
  </si>
  <si>
    <t xml:space="preserve">Numéro du secteur de recensement
</t>
  </si>
  <si>
    <t>Pas admis</t>
  </si>
  <si>
    <t xml:space="preserve">Numéro d'ordre de l'immeuble 
(à l'intérieur du secteur de 
recensement)
</t>
  </si>
  <si>
    <t>Numéro d'ordre du logement 
(à l'intérieur du bâtiment)</t>
  </si>
  <si>
    <t>Numéro du ménage 
(du détenteur ou du ménage collectif)</t>
  </si>
  <si>
    <t>Pas de ménage recensé</t>
  </si>
  <si>
    <t>Code fusion</t>
  </si>
  <si>
    <t>Enregistrement-logement normal 
Enregistrement-logement fusionné (résultat d'une fusion) 
Enregistrement-logement de base (avant fusion)
Pas admis</t>
  </si>
  <si>
    <t>Les exploitations réalisées par l'OFS sont effectuées sur la base des enregistrements-logement fusionnés, soit W-STAT02 = F. Pour travailler sur cette même base, utiliser 
le champ GW-TGP = J.</t>
  </si>
  <si>
    <t>Oui 
Cet enregistrement est pris en compte dans le TGP. 
Non 
Cet enregistrement n'est pas pris en compte dans le TGP. 
Les enregistrements-bâtiment et logement fictifs pour ménages administratifs, les enregistrements-bâtiment et logement à ignorer sous l'angle économique ainsi que 
les enregistrements-logement de base (avant fusion) portent l'indication "N". Tous les autres portent l'indication "J".
Pas admis</t>
  </si>
  <si>
    <t>Il est conseillé de poser la condition GW-TGP = "J" afin d'exclure les enregistrements contenant au moins l'une 
des valeurs suivantes: 
G-GART = 5 
G-KATW = 7 
W-BARW = 7 
W-BARW/Z = 0 
et ainsi d'éviter des confusions.</t>
  </si>
  <si>
    <t>Coordonnées géographiques du 
bâtiment</t>
  </si>
  <si>
    <t>Coordonnée métrique ou hectométrique axe est-ouest
Pas admis</t>
  </si>
  <si>
    <t xml:space="preserve">Le ménage administratif d'un secteur existant a été attribué à l'hectare de ce secteur comprenant le plus grand nombre 
d'habitants. Le ménage administratif d'un secteur sans 
référence géographique a été attribué à l'hectare de la commune comprenant le plus grand nombre d'habitants.
</t>
  </si>
  <si>
    <t>Coordonnée métrique ou hectométrique axe nord-sud
Pas admis</t>
  </si>
  <si>
    <t>Le ménage administratif d'un secteur existant a été attribué à l'hectare de ce secteur comprenant le plus grand nombre 
d'habitants. Le ménage administratif d'un secteur sans 
référence géographique a été attribué à l'hectare de la commune comprenant le plus grand nombre d'habitants.</t>
  </si>
  <si>
    <t>Pas de numéro de quartier (en dehors de ZH et TG)</t>
  </si>
  <si>
    <t>Uniquement dans les cantons de ZH et TG</t>
  </si>
  <si>
    <t>Catégorie de bâtiment sous l'angle du domicile économique</t>
  </si>
  <si>
    <t>Le code 7 signifie que le bâtiment doit être ignoré sous l'angle économique.  
Les enregistrements-bâtiment qui portent cette valeur sont exclus en sélectionnant GW-TGP = "J".</t>
  </si>
  <si>
    <t>Bâtiment comprenant uniquement des logements non occupés en permanence
Bâtiment non habité, à usage exclusivement collectif
Bâtiment habité ou habitation de fortune, à usage exclusivement collectif (pas de ménage privé, pas de logement)
Bâtiment habité uniquement sous l'angle légal, aucune unité-logement n'a une cuisine ou une cuisinette
Bâtiment habité comprenant au minimum un ménage privé ou un logement ou Habitation de fortune habitée par au moins 1 ménage privé</t>
  </si>
  <si>
    <t>Construit avant 1900
Construit entre 1900 et 1920
Construit entre 1921 et 1946
Construit entre 1947 et 1960
Construit entre 1961 et 1970
Construit entre 1971 et 1980
Construit entre 1981 et 1985
Construit entre 1986 et 1990
Habitation de fortune (G-GART=4) 
Enregistrement-bâtiment fictif (G-GART=5)</t>
  </si>
  <si>
    <t>Oui
Non
Habitation de fortune (G-GART=4) 
Enregistrement-bâtiment fictif (G-GART=5)</t>
  </si>
  <si>
    <t>Rénovés entre 1961 et 1970
Rénovés entre 1971 et 1980
Rénovés entre 1981 et 1985
Rénovés entre 1986 et 1990
Pas de rénovation (G-RENO=2) 
Habitation de fortune (G-GART=4) 
Enregistrement-bâtiment fictif (G-GART=5)</t>
  </si>
  <si>
    <t>Nombre de niveaux du bâtiment 
(rez-de-chaussée compris)</t>
  </si>
  <si>
    <t>Nombre
Habitation de fortune (G-GART=4) 
Enregistrement-bâtiment fictif (G-GART=5)</t>
  </si>
  <si>
    <t xml:space="preserve">Un ou plusieurs particulier(s) (y compris 
indivision successorale)
Une société immobilière (par ex: consortium 
de construction)
Une société coopérative de construction et 
d'habitation, dont les membres habitent le 
bâtiment en majorité
Une autre société coopérative de 
construction et d'habitation
Une assurance
Un fonds de placement immobilier
Un fonds de prévoyance professionnelle (caisse de pension)
Une autre fondation
Une association
Une commune (y compris ommunauté 
scolaire, paroisse, bourgeoisie), un canton, la Confédération
Un autre genre de propriétaire (par ex: 
société anonyme, société immobilière 
d'actionnaires-locataires SIAL) 
Habitation de fortune (G-GART=4) 
Enregistrement-bâtiment fictif (G-GART=5)
</t>
  </si>
  <si>
    <t>Avec installation de fourniture d'eau chaude
Sans installation de fourniture d'eau chaude
Habitation de fortune (G-GART=4) 
Enregistrement-bâtiment fictif (G-GART=5)</t>
  </si>
  <si>
    <t>Installation de fourniture d'eau 
chaude</t>
  </si>
  <si>
    <t>Mazout
Gaz
Pompe à chaleur
Electricité
Bois
Charbon
Chaleur à distance (eau surchauffée ou vapeur)
Capteur solaire
Autre
Bâtiment sans chauffage (G-HEIZ=6) 
Habitation de fortune (G-GART=4) 
Enregistrement-bâtiment fictif (G-GART=5)</t>
  </si>
  <si>
    <t xml:space="preserve">Mazout
Gaz
Pompe à chaleur
Electricité
Bois
Charbon
Chaleur à distance (eau surchauffée ou vapeur)
Capteur solaire
Autres
Bâtiment sans chauffage (G-HEIZ=6) 
Pas d'agent énergétique d'appoint pour le chauffage 
Habitation de fortune (G-GART=4) 
Enregistrement-bâtiment fictif (G-GART=5)  </t>
  </si>
  <si>
    <t xml:space="preserve">Mazout
Gaz
Pompe à chaleur
Electricité
Bois
Charbon
Chaleur à distance (eau surchauffée ou 
vapeur)
Capteur solaire
Autres
Bâtiment sans chauffage (G-HEIZ=6) 
Pas d'agent énergétique d'appoint pour le chauffage 
Habitation de fortune (G-GART=4) 
Enregistrement-bâtiment fictif (G-GART=5)  </t>
  </si>
  <si>
    <t>Mazout
Gaz
Pompe à chaleur
Electricité
Bois
Charbon
Chaleur à distance (eau surchauffée ou vapeur)
Capteur solaire
Autres
Bâtiment sans production d'eau chaude (G-WWAS=2) 
Habitation de fortune (G-GART=4) 
Enregistrement-bâtiment fictif (G-GART=5)</t>
  </si>
  <si>
    <t>L'année 2000 était bissextile</t>
  </si>
  <si>
    <t>En cas de données multiples, une seule donnée est conservée.</t>
  </si>
  <si>
    <t>Code local 2 
(quartier etc)</t>
  </si>
  <si>
    <t>Nombre d'enfants dans le ménage</t>
  </si>
  <si>
    <t>Nombre de personnes en couple chefs de ménage</t>
  </si>
  <si>
    <t>Nombre de rentiers et de retraités</t>
  </si>
  <si>
    <t>Nombre de fils/filles; belle-filles/beaux-fils actifs occupés</t>
  </si>
  <si>
    <t>Nombre de membres du personnel</t>
  </si>
  <si>
    <t>Nombre de pensionnaires</t>
  </si>
  <si>
    <t>ZH à JU, voir liste 1</t>
  </si>
  <si>
    <t>Type de ménage privé, voir liste 6
Type de ménage collectif, voir liste 6
Ménages composés uniquement de personnes avec domicile économique</t>
  </si>
  <si>
    <t>Type de ménage privé, voir liste 6
Type de ménage collectif, voir liste 6
Ménage composé uniquement de personnes avec domicile civil</t>
  </si>
  <si>
    <t>Personnes avec domicile non civil
Personnes avec domicile civil</t>
  </si>
  <si>
    <t>Personnes avec domicile d'appoint
Personnes avec domicile économique</t>
  </si>
  <si>
    <t>Personnes avec deux domiciles
Personnes avec un seul domicile</t>
  </si>
  <si>
    <t xml:space="preserve">0 … 24
Ménage collectif </t>
  </si>
  <si>
    <t>0 … 9 
Ménage collectif</t>
  </si>
  <si>
    <t xml:space="preserve">0 … 9
Ménage collectif </t>
  </si>
  <si>
    <t xml:space="preserve"> 0 … 999</t>
  </si>
  <si>
    <t>0 … 25
Ménage collectif</t>
  </si>
  <si>
    <t>0 … 24 
Ménage collectif</t>
  </si>
  <si>
    <t xml:space="preserve">0 … 999 </t>
  </si>
  <si>
    <t>Enregistrement correspondant à un ménage</t>
  </si>
  <si>
    <t>Les codes locaux sont 
définis par les communes</t>
  </si>
  <si>
    <t>Cf. Liste 6.
Population civile seulement (catégories 1 et 4)</t>
  </si>
  <si>
    <t>Cf. Liste 6.
Population économique seulement (catégories 1 et 3)</t>
  </si>
  <si>
    <t>Personnes de moins de 18 ans avec P_STHHW
=121 et P_ZIVL=1</t>
  </si>
  <si>
    <t>Personnes de 18 à 24 ans avec P_STHHW=121 et P_ZIVL=1</t>
  </si>
  <si>
    <t>Personnes de 25 à 29 ans avec P_STHHW=121 et P_ZIVL=1</t>
  </si>
  <si>
    <t>Personnes de 30 ans et plus avec P_STHHW=121 et P_ZIVL=1</t>
  </si>
  <si>
    <t>Fils entre 0 et 6 ans avec P_STHHW=121 et P_GESL=1</t>
  </si>
  <si>
    <t>Filles entre 0 et 6 ans avec P_STHHW=121 et P_GESL=2</t>
  </si>
  <si>
    <t>Fils entre 7 et 15 ans avec P_STHHW=121 et P_GESL=1</t>
  </si>
  <si>
    <t>Filles entre 7 et 15 ans avec P_STHHW=121 et P_GESL=2</t>
  </si>
  <si>
    <t xml:space="preserve">Nombre de personnes avec P_STHHW=112 ou 113: situation dans le ménage = époux, épouse, conjoints dans un couple en union libre. </t>
  </si>
  <si>
    <t xml:space="preserve">Nombre de personnes avec P_STHHW=111, 114 ou 115: situation dans le ménage = personne vivant seule, personne élevant seule son/ses enfant(s), autre chef de ménage. </t>
  </si>
  <si>
    <t>Sans les apprentis, ceux-ci comptant comme personnes actives.</t>
  </si>
  <si>
    <t>Année d'acquisition de la nationalité suisse</t>
  </si>
  <si>
    <t>Statut sur le marché du travail</t>
  </si>
  <si>
    <t>Profession exercée</t>
  </si>
  <si>
    <t xml:space="preserve">Calcul: jour du recensement moins jour de naissance
(personnes nées entre le 5 décembre 1999 et le 4 décembre 2000 ont moins d'un an révolu; entre le  5 décembre 1998 et le 4 décembre 1999, 1 an révolu, etc.) </t>
  </si>
  <si>
    <t>Répertoire des codes relatifs aux statut d’activité et statut sur le marché de l’emploi. Cf. Liste 11, les réponses multiples sont prises en compte et combinées avec la variable H_RAMS</t>
  </si>
  <si>
    <t>Ce total d'heures résulte de l'addition de H_RHVOLL et H_RHTZS</t>
  </si>
  <si>
    <t xml:space="preserve">
Ménage collectif</t>
  </si>
  <si>
    <t>1890 … 1985
Ménage collectif</t>
  </si>
  <si>
    <t>15 … 110
Ménage collectif</t>
  </si>
  <si>
    <t xml:space="preserve">15 à 19 ans 
20 à 24 ans 
25 à 29 ans 
…
100 à 104 ans
105 ans et plus
Ménage collectif </t>
  </si>
  <si>
    <t xml:space="preserve">14 … 110
Ménage collectif </t>
  </si>
  <si>
    <t>Hommes
Femmes
Ménage collectif</t>
  </si>
  <si>
    <t>Célibataires
Mariés, y compris séparés
Veufs
Divorcés
Ménage collectif</t>
  </si>
  <si>
    <t>1895 … 2000
Ménage collectif
Sans indication
Célibataires</t>
  </si>
  <si>
    <t>Couple marié 
Couple en union libre
Ménage collectif, personnes ne formant pas de couple</t>
  </si>
  <si>
    <t>Suisses
Etrangers
Ménage collectif</t>
  </si>
  <si>
    <t>1890 … 2000
Ménage collectif
Sans indication
Suisses de naissance
Etrangers</t>
  </si>
  <si>
    <t>8201 … 8619, voir liste 4
Ménage collectif
Suisses uniquement ou sans indication
Etrangers</t>
  </si>
  <si>
    <t xml:space="preserve">8201 … 8619, voir liste 3b  
Apatrides
Suisses
Ménage collectif </t>
  </si>
  <si>
    <t>Autorisation d'établissement (permis C) 
Autorisation de séjour annuel (permis B) 
Autorisation saisonnière (permis A) 
Requérants d'asile (permis N) 
Etrangers admis provisoirement (permis F) 
Autorisation de séjour de courte durée (permis L) 
Autorisation du DFAE 
Autre statut
Ménage collectif 
Suisses</t>
  </si>
  <si>
    <t>1 … 20
Ménage collectif
Sans indication
Pas d'enfant</t>
  </si>
  <si>
    <t xml:space="preserve"> 111 … 600, voir liste 7
Ménage collectif</t>
  </si>
  <si>
    <t>110 … 440, voir liste 8
Ménage collectif</t>
  </si>
  <si>
    <t>1-5 heures par semaine
6-19 heures par semaine
20-27 heures par semaine
28-35 heures par semaine
36-39 heures par semaine
40-45 heures par semaine
46 heures et plus par semaine
Ménage collectif
Actifs occupés sans indication des heures
Personnes non actives ou sans emploi</t>
  </si>
  <si>
    <t xml:space="preserve">111 … 305, voir liste 12
Ménage collectif </t>
  </si>
  <si>
    <t>10 … 40, voir liste 11
Ménage collectif</t>
  </si>
  <si>
    <t>10…305, voir liste 14
Ménage collectif</t>
  </si>
  <si>
    <t>11101 … 91107, voir liste 13
Ménage collectif
Professions que l'on ne peut pas exercer
Sans indication
Personnes non actives, sans emploi</t>
  </si>
  <si>
    <t>01100 … 9900C, voir liste 16
Ménage collectif
Sans indication
Personnes non actives, sans emploi</t>
  </si>
  <si>
    <t>1 … 56, voir liste 17
Ménage collectif
Sans indication
Personnes non actives, sans emploi</t>
  </si>
  <si>
    <t>01100...9900C, voir liste 16
Ménage collectif
Sans indication
Pas en formation</t>
  </si>
  <si>
    <t>1 … 56, voir liste 17
Ménage collectif
Sans indication
Pas en formation</t>
  </si>
  <si>
    <t>1.0 … 98.0
Ménage collectif
Sans indication
Aucune activité de ce type</t>
  </si>
  <si>
    <t>1 … 98
Ménage collectif
Sans indication
Aucune activité de ce type</t>
  </si>
  <si>
    <t>1.0 … 120.0
Ménage collectif
Sans indication
Personnes non actives, sans emploi</t>
  </si>
  <si>
    <t>Oui
Non
Ménage collectif 
Sans indication</t>
  </si>
  <si>
    <t xml:space="preserve">Numéro de couple 
</t>
  </si>
  <si>
    <t>Année d'acquisition 
de la nationalité suisse</t>
  </si>
  <si>
    <t>1890 … 1985
Ménage collectif, ménage privé sans partenaire de la personne de référence</t>
  </si>
  <si>
    <t>15 … 110
Ménage collectif, ménage privé sans partenaire de la personne de référence</t>
  </si>
  <si>
    <t xml:space="preserve">15 à 19 ans 
20 à 24 ans 
25 à 29 ans 
…
100 à 104 ans
105 ans et plus
Ménage collectif, ménage privé sans partenaire de la personne de référence </t>
  </si>
  <si>
    <t>14 … 110
Ménage collectif, ménage privé sans partenaire de la personne de référence</t>
  </si>
  <si>
    <t>Hommes
Femmes
Ménage collectif, ménage privé sans partenaire de la personne de référence</t>
  </si>
  <si>
    <t>Célibataires
Mariés, y compris séparés
Veufs
Divorcés
Ménage collectif, ménage privé sans partenaire de la personne de référence</t>
  </si>
  <si>
    <t>Couple marié
Couple en union libre
Ménage collectif, ménage privé sans partenaire de la personne de référence, personnes ne formant pas de couple</t>
  </si>
  <si>
    <t>Suisses
Etrangers
Ménage collectif, ménage privé sans partenaire de la personne de référence</t>
  </si>
  <si>
    <t>8201 … 8619, voir liste 3b
Apatrides
Suisses
Ménage collectif, ménage privé sans partenaire de la personne de référence</t>
  </si>
  <si>
    <t xml:space="preserve"> 111 … 600, voir liste 7
Ménage collectif, ménage privé sans partenaire de la personne de référence</t>
  </si>
  <si>
    <t>110 … 440, voir liste 8
Ménage collectif, ménage privé sans partenaire de la personne de référence</t>
  </si>
  <si>
    <t>111 … 305, voir liste 12
Ménage collectif, ménage privé sans partenaire de la personne de référence</t>
  </si>
  <si>
    <t>10 … 40, voir liste 11
Ménage collectif, ménage privé sans partenaire de la personne de référence</t>
  </si>
  <si>
    <t>10…305, voir liste 14
Ménage collectif, ménage privé sans partenaire de la personne de référence</t>
  </si>
  <si>
    <t>Oui
Non
Ménage collectif, ménage privé sans partenaire de la personne 
de référence
Sans indication</t>
  </si>
  <si>
    <t>Il n'y avait aucune personne disposant d'un permis S (personne à protéger) au 5 décembre 2000.</t>
  </si>
  <si>
    <t>Répertoire des codes relatifs aux statut d’activité et statut sur le marché de l’emploi. Cf. Liste 11, les réponses multiples sont prises en compte et combinées avec la variable H_ZAMS</t>
  </si>
  <si>
    <t>Ce nombre d'heures peut 
comprendre une ou plusieurs activités à temps partiel. 98 signifie 98 heures et plus.
Le code -8 comprend aussi les non actifs.</t>
  </si>
  <si>
    <t>Type de bâtiment</t>
  </si>
  <si>
    <t>Epoque de rénovation (dernière
rénovation)</t>
  </si>
  <si>
    <t>Type de chauffage</t>
  </si>
  <si>
    <t>Nombre d'enreg.-log. par bâtiment</t>
  </si>
  <si>
    <t>Pas de ménage collectif d’un point de vue économique dans le bâtiment
Nombre de personnes dans des ménages collectifs du bâtiment selon le dom. écon.</t>
  </si>
  <si>
    <t>Pas de ménage administratif d’un point de vue économique dans le bâtiment
Nombre de personnes dans le ménage administratif selon le dom. écon.</t>
  </si>
  <si>
    <t>Pas de ménage administratif d’un point de vue civil dans le bâtiment
Nombre de personnes dans le ménage administratif selon le dom. civil</t>
  </si>
  <si>
    <t xml:space="preserve">Occupé en permanence 
Habité temporairement (HT) 
Non occupé (NO) 
Unité-logement occupée uniquement sous l'angle économique, sans cuisine, ni cuisinette 
Locaux pour ménage collectif (MC) 
Locaux pour MC non occupés 
Enr. fictif pour ménage administratif
Enregistrement-logement pour ménage collectif ou ménage administratif n'existant que sous l'angle économique
Enregistrement-logement pour ménage privé dans le bâtiment fictif
Enregistrement-logement pour ménage collectif dans le bâtiment fictif
Enregistrement-logement pour ménage administratif (=SHH) dans le bâtiment fictif.
</t>
  </si>
  <si>
    <t>Somme des H_BARW = 1, 2, 3, 4, 5, 6, 7, 8, 91, 92 ,93.
Il s'agit ici du nombre d'enregistrements-logement par bâtiment. Ne pas confondre avec le nombre d'unités-logement ou le nombre de logements 
par bâtiment.    
Un bâtiment à usage exclusivement collectif habité comporte un ou plusieurs enregistrements-logement mais ne comporte pas d'unité-logement.</t>
  </si>
  <si>
    <t xml:space="preserve">
Catégorie de 
bâtiment sous l'angle 
du domicile 
économique</t>
  </si>
  <si>
    <t>Haushalte: Gebäude und Wohnungen / Ménages: Bâtiments et logements</t>
  </si>
  <si>
    <t>Zurich
Berne
Lucerne
Uri
Schwyz
Obwalden
Nidwalden
Glaris
Zoug
Fribourg
Soleure
Bâle-Ville
Bâle-Campagne
Schaffhouse
Appenzell Rhodes-Extérieures
Appenzell Rhodes-Intérieures 
Saint-Gall
Grisons
Argovie
Thurgovie
Ticino
Vaud
Valais
Neuchâtel
Genève
Jura
à l'étranger</t>
  </si>
  <si>
    <t>ab 1979
dès 1979</t>
  </si>
  <si>
    <t>ab 2018
dès 2018</t>
  </si>
  <si>
    <t>Durée écoulée entre la dissolution du mariage
et le remariage du mari en années révolues</t>
  </si>
  <si>
    <t>Valeur SNC (chiffres)</t>
  </si>
  <si>
    <t>Détail de la valeur SNC (texte)</t>
  </si>
  <si>
    <t>Année(s) (Y ou YY)</t>
  </si>
  <si>
    <t>Variable OFS</t>
  </si>
  <si>
    <t>Détail de la valeur OFS (texte)</t>
  </si>
  <si>
    <t>Fichiers de référence</t>
  </si>
  <si>
    <t>Description détaillée</t>
  </si>
  <si>
    <t>Nomenclature</t>
  </si>
  <si>
    <t>Structure de recodage</t>
  </si>
  <si>
    <t>Variable spécifique à SNC</t>
  </si>
  <si>
    <t>RFP 1990</t>
  </si>
  <si>
    <t>RFP 2000</t>
  </si>
  <si>
    <t>Variable nouvellement créée par l'équipe SNC. Décrit le statut de l'enregistrement après le couplage.</t>
  </si>
  <si>
    <t>Description de l'état de liaison des enregistrements après la mise à jour du SNC avec STATPOP 2019 -&gt; SNC5.0</t>
  </si>
  <si>
    <t xml:space="preserve">Pas de lien
Lié à la RC 2011 (SNCID)
Lié au registre de mortalité 
Emigré
Ré-immigré, lié à la RC 2011
Seulement le recensement 1990
Nouvel enregistrement &gt;=2010
</t>
  </si>
  <si>
    <t>RFP 1990, RFP 2000, STATPOP 2010-2019</t>
  </si>
  <si>
    <t>Date à laquelle la personne est entrée dans la cohorte. Générée en utilisant les dates de référence du recensement 1990, 2000 et du recensement basé sur les registres 2010-2019.</t>
  </si>
  <si>
    <t xml:space="preserve">Variable nouvellement créée par l'équipe SNC. Cette variable décrit le type de date d'arrêt ; la raison pour laquelle le suivi a été arrêté. </t>
  </si>
  <si>
    <t>Non imputé 
Décès imputé
Manquant (Personne ne figurant pas dans RFP90, RFP00)</t>
  </si>
  <si>
    <r>
      <t xml:space="preserve">Variable nouvellement créée. Indique tous les décès imputés (== 1). Lors du couplage au recensement 2011 (SNC2.0), 51086 décès de la statistique des causes de décès n'ont pas pu être reliés aux données personnelles avec un haut degré de probabilité. L'analyse des causes de décès et de leurs déterminants peut entraîner des écarts importants dans les résultats selon l'utilisation des données SNC (sans décès imputés) ou des statistiques officielles sur les causes de décès. Par conséquent, les décès non liés ont été ajoutés à l'ensemble des données SNC. Pour la procédure, voir l'extrait de l'article Schmidlin K, et al. 2013. Impact des décès non liés et des changements de codage sur les tendances de la mortalité dans la Swiss National Cohort.: </t>
    </r>
    <r>
      <rPr>
        <i/>
        <sz val="11"/>
        <color theme="1"/>
        <rFont val="Arial"/>
        <family val="2"/>
      </rPr>
      <t>"We implemented a pragmatic two-step procedure to allocate unlinked death records to census records. We applied rules to prevent impossible matches, for example when attributing deaths with a gender specific cause of death (e.g. prostate or breast cancer). In a first step we used the following procedure to allocate unlinked deaths to census records: death and census record matched on gender, canton of residence, nationality, age (same birth date or maximally 3 months apart), civil status (identical or plausible change, such as married at census and widowed at time of death). If more than one census record fulfilled these criteria, we randomly allocated the death to one of them. If no census record was found, we used less stringent matching criteria in a second step: gender, region (Central, Eastern, Zurich, the Espace Mittelland, Lake Geneva, Northwestern, or Ticino) and birth date within one year. We again randomly selected one census record that matched the death record on these criteria."</t>
    </r>
  </si>
  <si>
    <t xml:space="preserve">La variable décrit le type de date d'arrêt ; pourquoi le suivi a été arrêté (y compris les décès imputés). </t>
  </si>
  <si>
    <t>Jour/Mois/Année</t>
  </si>
  <si>
    <t>La dernière date de naissance disponible dans les fichiers de référence est le plus souvent prise en compte.</t>
  </si>
  <si>
    <t>Année de décès</t>
  </si>
  <si>
    <t>Année</t>
  </si>
  <si>
    <t>Année du décès (dérivée du jour du décès)</t>
  </si>
  <si>
    <t>Dernière date à laquelle la personne a quitté la Suisse</t>
  </si>
  <si>
    <t>Homme
Femme</t>
  </si>
  <si>
    <t xml:space="preserve">Sexe d'une personne figurant dans les données du recensement </t>
  </si>
  <si>
    <t>Date du dernier recensement vu</t>
  </si>
  <si>
    <t>Jour/Mois/Année
A quitté la cohorte avant le 1er janvier 2011</t>
  </si>
  <si>
    <t xml:space="preserve">Date du dernier recensement basé sur les registres (fichiers de personnes STATPOP) où la personne a été vue. Les personnes avec des valeurs manquantes ont quitté (par décès, perte de suivi, émigration, aucun lien possible) la cohorte avant le 1er janvier 2011. </t>
  </si>
  <si>
    <t>Poids du lien</t>
  </si>
  <si>
    <t xml:space="preserve">Décrit le poids résultant de la liaison RFP 2000 avec 2011. 190 a été défini comme le seuil de coupure. Lorsque plusieurs paires de liens étaient disponibles, celle ayant le poids de lien le plus élevé a été choisie. Veuillez consulter le rapport de couplage rédigé par Adrian Spörri pour plus de détails. </t>
  </si>
  <si>
    <t>Oui
Non</t>
  </si>
  <si>
    <t>Compté dans les statistiques officielles</t>
  </si>
  <si>
    <t>Non
Oui
Vide: informations manquantes pendant l'année statistique en cours</t>
  </si>
  <si>
    <t>Pays
Apatride
Inconnu/Manquant</t>
  </si>
  <si>
    <t>Pays
Apatride
Non attribuable selon les frontières actuelles
Sans indication</t>
  </si>
  <si>
    <t>La variable SNC a été recodée selon la colonne "structure de recodage"</t>
  </si>
  <si>
    <t>Répertoire des Etats et territoires - Version MS-Excel</t>
  </si>
  <si>
    <t>Commune
Sans indication</t>
  </si>
  <si>
    <t>RFP 1990, RFP 2000</t>
  </si>
  <si>
    <t>Indiquant le code de la commune déclarante au recensement</t>
  </si>
  <si>
    <t>Répertoire officiel des communes de Suisse</t>
  </si>
  <si>
    <t>Code de la commune
À l'étranger</t>
  </si>
  <si>
    <t>Commune
À l'étranger
Pas encore né
Sans indication</t>
  </si>
  <si>
    <t xml:space="preserve">Cette variable a été utilisée pour le couplage (SNC2.0). </t>
  </si>
  <si>
    <t>Code de la commune</t>
  </si>
  <si>
    <t xml:space="preserve">
Cette variable indique la commune déclarante
</t>
  </si>
  <si>
    <t>Commune où vivait la personne et où elle a été enregistrée au moment du décès</t>
  </si>
  <si>
    <t>2011: Années de résidence dans la commune</t>
  </si>
  <si>
    <t>Années
Manquant</t>
  </si>
  <si>
    <t>Années de résidence dans la commune
Depuis naissance
Sans indication</t>
  </si>
  <si>
    <t>1-120 -&gt; 1-120
-5 -&gt; remplacer par âge à 2011
-9 -&gt; .</t>
  </si>
  <si>
    <t>2011: Même commune depuis la naissance (y/n)</t>
  </si>
  <si>
    <t>Non
Oui
Manquant</t>
  </si>
  <si>
    <t xml:space="preserve">Cette variable a été utilisée pour le couplage (SNC2.0). Elle a été créée en utilisant la variable "municipalityStayYears" du fichier de personnes STATPOP 2011 et l'âge au 31.12.2011. </t>
  </si>
  <si>
    <t>2011: Date du déménagement le plus récent (dans la même commune ou dans une autre)</t>
  </si>
  <si>
    <t>Jour/Mois/Année
Manquant</t>
  </si>
  <si>
    <t>Date
Non applicable
Sans indication</t>
  </si>
  <si>
    <t>Zurich
Berne
Lucerne
Uri
Schwyz
Obwalden
Nidwalden
Glaris
Zoug
Fribourg
Soleure
Bâle-Ville
Bâle-Campagne
Schaffhouse
Appenzell Rhodes-Extérieures
Appenzell Rhodes-Intérieures 
Saint-Gall
Grisons
Argovie
Thurgovie
Ticino
Vaud
Valais
Neuchâtel
Genève
Jura
Manquant</t>
  </si>
  <si>
    <t>Zurich
Berne
Lucerne
Uri
Schwyz
Obwalden
Nidwalden
Glaris
Zoug
Fribourg
Soleure
Bâle-Ville
Bâle-Campagne
Schaffhouse
Appenzell Rhodes-Extérieures
Appenzell Rhodes-Intérieures 
Saint-Gall
Grisons
Argovie
Thurgovie
Ticino
Vaud
Valais
Neuchâtel
Genève
Jura</t>
  </si>
  <si>
    <t>Allemand
Français
Italien
Romanche
Manquant</t>
  </si>
  <si>
    <t>Régions linguistiques 2000</t>
  </si>
  <si>
    <t xml:space="preserve">Allemand
Français
Italien
Romanche
</t>
  </si>
  <si>
    <t>Les niveaux géographiques de la Suisse</t>
  </si>
  <si>
    <t xml:space="preserve">La région linguistique a été déterminée à l'aide du fichier OFS "Raumgliederung", publié chaque année. Dans ce fichier, chaque municipalité actuelle s'est vue attribuer différentes caractéristiques telles que la région linguistique principale, l'urbanisation, etc. </t>
  </si>
  <si>
    <t>Niveaux géographiques</t>
  </si>
  <si>
    <t>Urbain
Périurbain
Rural
Manquant</t>
  </si>
  <si>
    <t>Zones urbaines/rurales 2000</t>
  </si>
  <si>
    <t>Ville-centre d'une agglomération
Autre commune de l'agglomération
Ville isolée
Commune rurale</t>
  </si>
  <si>
    <t xml:space="preserve">Le canton a été déterminé à l'aide du fichier OFS "Raumgliederung", publié chaque année. </t>
  </si>
  <si>
    <t xml:space="preserve">L'urbanisation de la commune a été déterminée à l'aide du fichier OFS "Raumgliederung", publié chaque année. Dans ce fichier, chaque commune actuelle s'est vue attribuer différentes caractéristiques telles que la région linguistique principale, l'urbanisation, etc. </t>
  </si>
  <si>
    <t xml:space="preserve">L'urbanisation de la commune a été déterminée à l'aide du fichier OFS "Raumgliederung", publié chaque année. Dans ce fichier, chaque commune actuelle s'est vue attribuer différentes caractéristiques telles que la région linguistique principale, l'urbanisation, etc.  </t>
  </si>
  <si>
    <t xml:space="preserve">La région linguistique a été déterminée à l'aide du fichier OFS "Raumgliederung", publié chaque année. Dans ce fichier, chaque commune actuelle s'est vue attribuer différentes caractéristiques telles que la région linguistique principale, l'urbanisation, etc. </t>
  </si>
  <si>
    <t xml:space="preserve">Célibataire
Marié(e)
Veuf(ve)
Divorcé(e)
Manquant </t>
  </si>
  <si>
    <t>RFP 1990 fichier personne
RFP 2000 fichier personne</t>
  </si>
  <si>
    <t>La variable indique l'état civil de la personne lors du recensement.</t>
  </si>
  <si>
    <t xml:space="preserve">1 -&gt; 1
2 -&gt; 2 si non séparé
2 -&gt; 4 si séparés
3 -&gt; 3
4 -&gt; 4
Lors de la création de la SNC1.0, les informations sur l'état civil des recensements de 1990 et 2000 ont été comparées et vérifiées pour détecter les invraisemblances, par exemple une personne mariée en 1990 mais célibataire en 2000. Ce n'est pas un changement possible. Des règles complexes de modification des v9_civil et v0_civil ont été appliquées en conséquence. </t>
  </si>
  <si>
    <t>Célibataire
Marié(e)
Veuf(ve)
Divorcé(e)
Non marié
Partenariat enregistré
Partenariat dissous
Sans indication</t>
  </si>
  <si>
    <t xml:space="preserve">1 -&gt; 1
2 -&gt; 2
2 -&gt; 4, si séparation et non manquant
3 -&gt; 3
4 -&gt; 4
5 -&gt; 4
6 -&gt; 2
6 -&gt; 4, si séparation et non manquant
7 -&gt; 4, si CancelationPartnerReason -&gt; 1, 2, manquant
7 -&gt; 3, si CancelationPartnerReason -&gt; 3, 4
-9 -&gt; . </t>
  </si>
  <si>
    <t>État civil au décès</t>
  </si>
  <si>
    <t>La variable SNC a été recodée selon la colonne "structure de recodage". Veuillez garder à l'esprit que l'état civil a également été recoupé avec l'état civil des années précédentes (si disponible). Si une personne a été mariée, divorcée, veuve, etc. auparavant, elle ne peut pas être à nouveau célibataire. Dans ce cas, la valeur a été modifiée en fonction du dernier état civil disponible.</t>
  </si>
  <si>
    <t>Célibataire
Marié(e) (y compris séparé)
Veuf(ve)
Divorcé(e)</t>
  </si>
  <si>
    <t>RFP 2000 fichier personne</t>
  </si>
  <si>
    <t>La variable SNC a été recodée selon la colonne "structure de recodage".</t>
  </si>
  <si>
    <t>Jour/Mois/Année
NA
Manquant</t>
  </si>
  <si>
    <t>La variable indique la dernière date de changement d'état civil. Si l'état matrimonial a été déclaré célibataire cette année-là, la date de changement d'état matrimonial a été définie comme manquante.</t>
  </si>
  <si>
    <t>La variable indique la date du mariage</t>
  </si>
  <si>
    <t>La variable indique la date du divorce ou du veuvage.</t>
  </si>
  <si>
    <t>La variable indique la date de la séparation</t>
  </si>
  <si>
    <t>Date de la naturalisation</t>
  </si>
  <si>
    <t>Date
Depuis la naissance
Non applicable
Sans indication</t>
  </si>
  <si>
    <t>Date d'acquisition de la nationalité suisse</t>
  </si>
  <si>
    <t>RFP1990 fichier personne
RFP2000 fichier personne</t>
  </si>
  <si>
    <t>RFP1990 fichier personne</t>
  </si>
  <si>
    <r>
      <t xml:space="preserve">0 -&gt; 8100
8201 -&lt; 8998 -&gt; 8201  -&lt; 8998
8998 -&gt; </t>
    </r>
    <r>
      <rPr>
        <sz val="11"/>
        <rFont val="Arial"/>
        <family val="2"/>
      </rPr>
      <t xml:space="preserve">8998
v9_nat and v0_nat ont été éditées en même temps lors de la liaison pour SNC1.0, donc aussi l'information de RFP2000 a influencé la décision finale pour éditer v9_nat et vice versa. Règles générales :
- Chronologie : CH -&gt; non-CH non plausible
- la nationalité et le permis sont liés ! Mise à jour/adaptation du permis si la nationalité a été modifiée
- règle générale, priorité : v0_nat&gt;m_nat&gt;v9_nat
</t>
    </r>
  </si>
  <si>
    <t>RFP2000 fichier personne</t>
  </si>
  <si>
    <t xml:space="preserve">8100 - 8614 -&gt; 8100 - 8614
8998 -&gt; 8998
8999 -&gt; 8999
v9_nat and v0_nat ont été éditées en même temps lors de la liaison pour SNC1.0, donc aussi l'information de RFP2000 a influencé la décision finale pour éditer v9_nat et vice versa. Règles générales :
- Chronologie : CH -&gt; non-CH non plausible
- la nationalité et le permis sont liés ! Mise à jour/adaptation du permis si la nationalité a été modifiée
- règle générale, priorité : v0_nat&gt;m_nat&gt;v9_nat
</t>
  </si>
  <si>
    <t>Pays
Apatride
Non attribuable selon les frontières actuelles
Pas d'indication</t>
  </si>
  <si>
    <t>Pays
Apatride 
Inconnu/Manquant</t>
  </si>
  <si>
    <t>Suisse
Pays
Apatride</t>
  </si>
  <si>
    <t xml:space="preserve">Pays
Apatride
Manquant
</t>
  </si>
  <si>
    <t>Pays
Apatride
Inconnu/Manquant
Manquant</t>
  </si>
  <si>
    <r>
      <t>Pays
Apatride
Inconnu/Manquant</t>
    </r>
    <r>
      <rPr>
        <sz val="11"/>
        <rFont val="Arial"/>
        <family val="2"/>
      </rPr>
      <t xml:space="preserve">
Manquant (pas dans le fichier personnel STATPOP de cette année-là)</t>
    </r>
  </si>
  <si>
    <t xml:space="preserve">8100 - 8703 -&gt; 8100 - 8703
-1 -&gt; 8998
-6 -&gt; 8999
-9 -&gt; 8999
En outre, les changements de nationalité peu plausibles (CH à non-CH) entre les différentes années ont été vérifiés et modifiés en conséquence. Les changements de permis et de naturalisation ont également été pris en compte. </t>
  </si>
  <si>
    <t>Nationalité au décès</t>
  </si>
  <si>
    <t>Pays
Apatride
Inconnu/manquant
Disparu (pas mort)</t>
  </si>
  <si>
    <t>La variable indique la nationalité de la personne</t>
  </si>
  <si>
    <t>La variable rapporte le permis de la personne.</t>
  </si>
  <si>
    <t>-9 -&gt; 0
1 -&gt; 1
2 -&gt; 2
3 -&gt; 3
4 -&gt; 4
6 -&gt; 6
7 -&gt; 6
8 -&gt; 5
9 -&gt; 6
Veuillez noter que les v9_permit et v0_permit ont été éditées pendant le linkage pour SNC1.0 et SNC2.0. Règles générales:
1.  le permis doit être compatible avec la nationalité !  (modifications : voir nationalité)
2. Combinations on Aufenthaltsstatus have to be logical: 
- not logical changes are: 
- CH (ov9:0,ov0:-9) to other categories 
- Niederlassungsbewilligung (C) (ov9:1,ov0:1) to other categories than CH (ov9:0,ov0:-9)
-  2,3 (B,A) to 4 (Asylum)
- If not logical: take vz00 (exception: if vz00=4 Asylum, then take vz90, since not very likely to be 4 in both censuses)
- Note: all modifications have to be compatible with nationality!
3. If missings: take other census (compatible with nationality!)
- General: first adapt ausw to nationality (CH or non-CH), 
- Second: modify not logical combinations within non-CH ausw categories</t>
  </si>
  <si>
    <t>1 -&gt; 3
2 -&gt; 2
3 -&gt; 1
4 -&gt; 1
5 -&gt; 6
6 -&gt; 6
7 -&gt; 6
8 -&gt; 4
9 -&gt; 4
10 -&gt; 6
11 -&gt; 5
12 -&gt; 5
13 -&gt; 5
-2 -&gt; 0
-9 -&gt; 0
En outre, les changements de permis non plausibles entre les différentes années ont été vérifiés et modifiés en conséquence. Les changements de nationalité ont également été pris en compte et modifiés pour éviter les invraisemblances.</t>
  </si>
  <si>
    <t>Jour/Mois/Année
Manquant
En CH depuis la naissance</t>
  </si>
  <si>
    <t>Date
Depuis la naissance
Sans indication</t>
  </si>
  <si>
    <t>ID ménage
Manquant</t>
  </si>
  <si>
    <t>RFP 1990 fichier ménage</t>
  </si>
  <si>
    <t xml:space="preserve">Un identifiant de ménage unique pour tous les ménages manquait dans RFP1990. Par conséquent, un identifiant unique de ménage (v9_hhid) a été généré en utilisant le fichier des ménages de RFP1990. Le V9_hhid a été généré en ne conservant que les enregistrements avec h_rart=1 ou h_rart=3 ; en triant h_zgde, h_zkrs et h_hhnr en une seule fois et en créant un identifiant de ménage unique qui a ensuite été ajouté au fichier des personnes et des ménages de RFP1990. </t>
  </si>
  <si>
    <t>ID ménage</t>
  </si>
  <si>
    <t>RFP 2000 fichier ménage</t>
  </si>
  <si>
    <t>La variable indique le numéro unique du ménage dans lequel vit la personne.</t>
  </si>
  <si>
    <t>Numéro à 14 chiffres commençant toujours par l'année d'observation
Personne non assignable à un ménage</t>
  </si>
  <si>
    <t xml:space="preserve">Variable indique l'ID du ménage. Chaque année, il y a de nouveaux ID de ménage qui ne peuvent pas être utilisés pour relier les mêmes ménages entre les années. </t>
  </si>
  <si>
    <t>Nombre
Manquant</t>
  </si>
  <si>
    <t>Nombre d'enregistrements de personnes
Personnes avec résidence secondaire</t>
  </si>
  <si>
    <t>La variable indique le nombre total de personnes dans le ménage.</t>
  </si>
  <si>
    <t>Nombre de personnes dans le ménage
Manquant</t>
  </si>
  <si>
    <t>La variable indique le type de ménage dans lequel vit la personne.</t>
  </si>
  <si>
    <t>Ménages d'une personne
Couples sans enfants
Couples avec enfants
Ménages monoparentaux
Personne seule avec parent(s)
Ménages non familiaux avec parents
Ménages non familiaux non apparentés
Établissements
Autres ménages collectifs
Ménages collectifs</t>
  </si>
  <si>
    <t>RFP1990 fichier  personne
RFP2000 fichier personne</t>
  </si>
  <si>
    <t>Ménages d'une personne
Couples sans enfant
Couples avec 1 ou plusieurs enfants
Parent seul avec 1 ou plusieurs enfants
Personne seule avec parent(s)
Maison/appartement en colocation
Maison, institution
Manquant</t>
  </si>
  <si>
    <t>Église évangélique réformée
Église évangélique méthodiste
Églises néo-apostoliques
Témoins de Jéhovah
Autres églises protestantes
Église catholique romaine
Église catholique chrétienne
Églises orthodoxes
Autres confessions chrétiennes
Communautés juives
Communautés musulmanes et issues de l'islam
Pas d'affiliation religieuse
Autres églises et confessions
Pas de réponse
Manquant</t>
  </si>
  <si>
    <t>Sans indication
Église évangélique réformée 
Église évangélique méthodiste
Autres Églises protestantes 
Église catholique romaine
Traditionnels
Église catholique chrétienne
Église orthodoxe orientale et Église chrétienne orientale
Église néo-apostolique
Témoins de Jéhovah
Autres communautés religieuses chrétiennes
Communautés religieuses israélites
Communautés religieuses mahométanes
Communautés religieuses orientales
Religions de la jeunesse (par ex. mouvement Bhagwan, mouvement Hare Krishna, etc.)
Autres communautés et philosophies religieuses
Pas d'appartenance à une communauté religieuse</t>
  </si>
  <si>
    <t>RFP 1990 fichier personne</t>
  </si>
  <si>
    <t>La variable indique la foi religieuse d'une personne</t>
  </si>
  <si>
    <t>Église évangélique réformée
Église évangélique méthodiste 
Églises néo-pietistes-évangéliques
Églises pentecôtistes
Églises néo-apostoliques
Témoins de Jéhovah
Autres Églises et communautés protestantes
Église catholique romaine
Église catholique chrétienne
Églises chrétiennes orthodoxes
Autres communautés chrétiennes
Communautés juives
Communautés musulmanes et issues de l'islam
Associations bouddhistes 
Associations hindouistes 
Autres Églises et communautés religieuses
Pas d'affiliation
Sans indication</t>
  </si>
  <si>
    <t>Cadres supérieurs et professions indépendantes
Autres indépendants
Professions libérales et cadres supérieurs
Agents de maîtrise/cadres inférieurs et ouvriers qualifiés
Employés et ouvriers non qualifiés
Personnes exerçant une activité rémunérée, non classées ailleurs
Chômeurs/demandeurs d'emploi
Sans emploi rémunéré
Dans l'enseignement obligatoire / âgés de moins de 15 ans
Manquant</t>
  </si>
  <si>
    <t xml:space="preserve">Gestion supérieure 
Professions libérales
Agriculteurs
Artisans
Indépendants dans le domaine des services
Ingénieurs et cadres techniques 
Cadres des services aux entreprises et de la communication
Cadres des services sociaux et personnels
Techniciens intermédiaires 
Professions intermédiaires des services aux entreprises et de la communication
Professions intermédiaires des services sociaux et personnels
Professions non manuelles qualifiées : employés techniques
Employés des services aux entreprises et de la communication
Employés des services sociaux et personnels 
Ouvriers qualifiés de l'agriculture
Ouvriers qualifiés de la production et de la construction
Employés qualifiés dans le secteur des services
Ouvriers non qualifiés de l'agriculture
Ouvriers non qualifiés de la production et de la construction
Employés non qualifiés dans les services
Personnes actives non attribuables
Personnes sans emploi
Personnes de 15 ans et plus en formation
Retraités
Travail domestique dans le propre ménage
Enfants jusqu'à 15 ans
Autres personnes sans activité professionnelle
</t>
  </si>
  <si>
    <t>La variable indique la catégorie socioprofessionnelle de la personne.</t>
  </si>
  <si>
    <t>Ne suit actuellement aucune forme d'enseignement
Enseignement obligatoire (niveau primaire et secondaire inférieur)
Enseignement secondaire supérieur
Enseignement tertiaire
Autre/ pas connu
Enfants d'âge préscolaire
Manquant</t>
  </si>
  <si>
    <t>Sans indication (pas encore scolarisé, pas (plus) en formation)
École obligatoire
Apprentissage professionnel
École de maturité
École professionnelle supérieure
École professionnelle supérieure
Université, haute école
Autre formation ou formation inconnue</t>
  </si>
  <si>
    <t>La variable indique l'éducation/la formation actuelle de la personne.</t>
  </si>
  <si>
    <t>École obligatoire
Ecole de degré diplôme ou école préprofessionnelle
Apprentissage professionnel, école professionnelle à plein temps
École de maturité
École normale d'instituteurs
Formation supérieure spécialisée ou professionnelle
École professionnelle supérieure
Haute école spécialisée
Université, haute école
Sans indication
Pas de formation actuelle
Pas encore scolarisé</t>
  </si>
  <si>
    <t>Enseignement obligatoire ou moins
Enseignement secondaire supérieur
Niveau d'éducation tertiaire
Inconnu
Âge scolaire ou moins
Manquant</t>
  </si>
  <si>
    <t>Sans indication
Pas de formation scolaire/professionnelle
École obligatoire
Apprentissage professionnel
École de maturité
École professionnelle supérieure
École professionnelle supérieure
Université, haute école
Autre formation</t>
  </si>
  <si>
    <t xml:space="preserve">RFP 2000 fichier personne </t>
  </si>
  <si>
    <t>Enseignement obligatoire ou moins
Enseignement secondaire supérieur
Niveau d'éducation tertiaire
Non connu
Âge scolaire ou moins
Manquant</t>
  </si>
  <si>
    <t>Ne suit actuellement aucune forme d'enseignement
Enseignement obligatoire (niveau primaire et secondaire inférieur)
Enseignement secondaire supérieur
Enseignement tertiaire
Autre/ Pas connu
Enfants d'âge préscolaire
Manquant</t>
  </si>
  <si>
    <t>Aucune formation achevée
École obligatoire
Ecole de degré diplôme ou école préparatoire à la formation professionnelle
Apprentissage professionnel, école professionnelle à plein temps
École de maturité
École normale d'instituteurs
Formation supérieure spécialisée ou professionnelle
École professionnelle supérieure
Haute école spécialisée
Université, haute école
Sans indication
Scolarité obligatoire
Pas encore soumis à l'obligation scolaire</t>
  </si>
  <si>
    <t>La variable indique l'éducation/la formation que la personne a suivie.</t>
  </si>
  <si>
    <t>Pas une variable originale du recensement. Identification du partenaire en utilisant les variables zgde, zkrs, hhnr et epnrw comme ID, puis en ajoutant l'éducation du partenaire au fichier SNC.</t>
  </si>
  <si>
    <t>Pas une variable originale du recensement. Identification du partenaire à l'aide des variables hhnr et epnrwand puis ajout de l'éducation du partenaire au fichier SNC.</t>
  </si>
  <si>
    <t>Numéro d'index
Manquant</t>
  </si>
  <si>
    <t>Variable nouvellement créée par Radoslaw Panczak à l'aide de plusieurs variables de recensement.</t>
  </si>
  <si>
    <t xml:space="preserve">Identifiants des bâtiments
Manquant </t>
  </si>
  <si>
    <t>Les identifiants des bâtiments issus du recensement, les identifiants des bâtiments de 1990 et 2000 ne sont pas les mêmes pour chaque bâtiment, vous ne pouvez donc pas fusionner les informations des bâtiments de 1990 et 2000 en utilisant v9_buildid et v0_buildid.</t>
  </si>
  <si>
    <t>Évident en Suisse</t>
  </si>
  <si>
    <t xml:space="preserve">Les identifiants des bâtiments issus du recensement, les identifiants des bâtiments de 1990 et 2000 ne sont pas les mêmes pour chaque bâtiment, vous ne pouvez donc pas fusionner les informations des bâtiments de 1990 et 2000 en utilisant v9_buildid et v0_buildid. </t>
  </si>
  <si>
    <t>EGID
Personne sans adresse dans la commune
Pas d'indication</t>
  </si>
  <si>
    <t>Identifiants des bâtiments issus des recensements basés sur les registres, les identifiants des bâtiments sont cohérents à partir de 2010.</t>
  </si>
  <si>
    <t>Ids d'appartement (1990)
Ids d'appartements (2000)
Manquant</t>
  </si>
  <si>
    <t>Clairement à l'intérieur du bâtiment</t>
  </si>
  <si>
    <t xml:space="preserve">Identifiants d'appartement du recensement </t>
  </si>
  <si>
    <t>EWID
Non applicable
Sans indication</t>
  </si>
  <si>
    <t>Coordonnée X du bâtiment où habite la personne.</t>
  </si>
  <si>
    <t>Coordonnée Y du bâtiment où habite la personne.</t>
  </si>
  <si>
    <t>Code ICD10 complet
Manquant</t>
  </si>
  <si>
    <t>Y-Coordonné
Manquant</t>
  </si>
  <si>
    <t>Premier caractère du code ICD10 
Manquant</t>
  </si>
  <si>
    <t>Défaut de données
Code ICD10 complet
Manquant</t>
  </si>
  <si>
    <t>Maladie initiale, ICD8, 3 chiffres</t>
  </si>
  <si>
    <t>Maladie initiale, ICD8, détaillé</t>
  </si>
  <si>
    <t>Maladie concomitante 1, ICD8, 3 chiffres</t>
  </si>
  <si>
    <t>Maladie concomitante 2, ICD8, 3 chiffres</t>
  </si>
  <si>
    <t>Maladie concomitante 1, ICD8, détaillé</t>
  </si>
  <si>
    <t>Maladie concomitante 2, ICD8, détaillé</t>
  </si>
  <si>
    <t>GES-Maladies initiales  1A, ICD10</t>
  </si>
  <si>
    <t>GES-Maladies consécutives 1B, ICD10</t>
  </si>
  <si>
    <t>GES-Cause primaire définitive, ICD10</t>
  </si>
  <si>
    <t>GES-Maladies concomitantes 2A, ICD10</t>
  </si>
  <si>
    <t>GES-Maladies concomitantes 2B, ICD10</t>
  </si>
  <si>
    <t>Commune de résidence au décès</t>
  </si>
  <si>
    <r>
      <rPr>
        <sz val="11"/>
        <rFont val="Arial"/>
        <family val="2"/>
      </rPr>
      <t>Suisse
Permis d'établissement  (C) 
Permis de séjour (B)</t>
    </r>
    <r>
      <rPr>
        <sz val="11"/>
        <color rgb="FF00B050"/>
        <rFont val="Arial"/>
        <family val="2"/>
      </rPr>
      <t xml:space="preserve">
</t>
    </r>
    <r>
      <rPr>
        <sz val="11"/>
        <rFont val="Arial"/>
        <family val="2"/>
      </rPr>
      <t>Permis de séjour saisonnier (A)</t>
    </r>
    <r>
      <rPr>
        <sz val="11"/>
        <color rgb="FF00B050"/>
        <rFont val="Arial"/>
        <family val="2"/>
      </rPr>
      <t xml:space="preserve">
</t>
    </r>
    <r>
      <rPr>
        <sz val="11"/>
        <rFont val="Arial"/>
        <family val="2"/>
      </rPr>
      <t>Requérants d'asile (N)</t>
    </r>
    <r>
      <rPr>
        <sz val="11"/>
        <color rgb="FF00B050"/>
        <rFont val="Arial"/>
        <family val="2"/>
      </rPr>
      <t xml:space="preserve">
</t>
    </r>
    <r>
      <rPr>
        <sz val="11"/>
        <rFont val="Arial"/>
        <family val="2"/>
      </rPr>
      <t>Autorisation DFAE, Diplomate, Fonctionnaire</t>
    </r>
    <r>
      <rPr>
        <sz val="11"/>
        <color theme="1"/>
        <rFont val="Arial"/>
        <family val="2"/>
      </rPr>
      <t xml:space="preserve">
Court séjour, visite, autre, inconnu
Manquant</t>
    </r>
  </si>
  <si>
    <t>Suisse
Permis d'établissement  (C) 
Permis de séjour (B)
Permis de séjour saisonnier (A)
Requérants d'asile (N)
Les étrangers admis à titre provisoire (F)
Permis de courte durée (L)</t>
  </si>
  <si>
    <r>
      <t>Permis d'établissement  (C) 
Permis de séjour (B)
Permis de séjour saisonnier (A)
Requérants d'asile (N)
Les étrangers admis à titre provisoire (F)
Permis de courte durée (L)</t>
    </r>
    <r>
      <rPr>
        <sz val="11"/>
        <color rgb="FF00B050"/>
        <rFont val="Arial"/>
        <family val="2"/>
      </rPr>
      <t xml:space="preserve">
</t>
    </r>
    <r>
      <rPr>
        <sz val="11"/>
        <rFont val="Arial"/>
        <family val="2"/>
      </rPr>
      <t>Autorisation DFAE
Autre status
Suisse</t>
    </r>
  </si>
  <si>
    <t>0 -&gt; 0
1 -&gt; 1
2 -&gt; 2
3 -&gt; 3
4 -&gt; 4
5 -&gt; 5
6 -&gt; 6
7 -&gt; 6
Veuillez noter que les v9_permit et v0_permit ont été éditées pendant le linkage pour SNC1.0. Règles générales:
1. le permis doit être compatible avec la nationalité !  (modifications : voir nationalité)
2. Les combinaisons sur le statut titulaire de permis doivent être logiques  
- les changements non logiques sont: 
- CH (ov9:0,ov0:-9) vers d'autres catégories  
- Permis d'établissement (C) (ov9:1,ov0:1) vers d'autres catégories que CH CH (ov9:0,ov0:-9)
-  2,3 (B,A) vers 4 (Asile)
- Si ce n'est pas logique : prendre vz00 (exception : si vz00=4 Asile, alors prendre rfp90, puisqu'il est peu probable que ce soit 4 dans les deux recensements).
- Note: Toutes les modifications doivent être compatibles avec la nationalité !
3. Si manquant: Prendre un autre recensement (compatible avec la nationalité !)
- En général: D'abord adapter ausw à la nationalité (CH ou non-CH),
- Deuxièmement: Modifier les combinaisons non logiques dans les catégories ausw non-CH.</t>
  </si>
  <si>
    <t>Suisse
Permis d'établissement  (C) 
Permis de séjour (B)
Permis de séjour saisonnier (A)
Requérants d'asile (N)
Autorisation DFAE, Diplomate, Fonctionnaire
Court séjour, visite, autre, inconnu
Manquant</t>
  </si>
  <si>
    <t>Permis de séjour saisonnier (A)
Permis de séjour (B)
Permis d'établissement (C)
Permis de séjour avec activité lucrative (Ci)
Les étrangers admis à titre provisoire (F)
Frontalier (G)
Résident courte durée, pour une activité de moins d’un an (L)
Requérants d'asile (N)
Livret pour les personnes à protéger (S)
Personne tenue de s'enregistrer
Diplomate, fonctionnaire international avec immunité diplomatique
Fonctionnaire international sans immunité diplomatique
Non imputable
Suisse
Sans indication</t>
  </si>
  <si>
    <t>DD/MM/YYYY -&gt; . , si l'état civil était "célibataire" cette année-là
9998-12-31 -&gt; .b
9999-12-31 -&gt; .a</t>
  </si>
  <si>
    <t>1000 -&gt; 1
21XX -&gt; 2
22XX -&gt; 3
23XX -&gt; 4
24XX -&gt; 5
31XX -&gt; 6
32XX -&gt; 6
91XX -&gt; 7
92XX -&gt; 7
98XX -&gt; 1 if aperw (nombre de personnes dans le ménage) = 1
98XX -&gt; 7 if aperw (nombre de personnes dans le ménage) &gt; 1</t>
  </si>
  <si>
    <t xml:space="preserve">0 -&gt; 0 (si personne en âge de travailler) 
0 -&gt; 5 (si personne en âge de travailler)
2 -&gt; 1
3 -&gt; 2
4 -&gt; 2
5 -&gt; 3
6 -&gt; 3
7 -&gt; 3
8 -&gt; 4
</t>
  </si>
  <si>
    <t>Règles très complexes pour traiter les invraisemblances / manques en comparant les informations sur l'éducation et l'âge de vz1990 et vz2000. 
Implausibilites possibles :
- diminution du niveau d'éducation le plus élevé de 1990 à 2000
- informations sur l'éducation manquantes en 2000 alors qu'elles existaient en 1990 
- la personne était trop jeune pour aller à l'école ou pour suivre un enseignement secondaire complet (âge &lt; 16 ans) ou un enseignement supérieur (âge &lt; 20 ans).
L'harmonisation des deux informations sur l'éducation (1990 et 2000) est basée sur le document du professeur Chaze "Harmonisation de la plus haute formation achevée" (2005).
Après l'harmonisation, créer une nouvelle catégorisation pour les fichiers standards SNC.</t>
  </si>
  <si>
    <t>Règles très complexes pour traiter les invraisemblances / manques en comparant les informations sur l'éducation et l'âge de vz1990 et vz2000. 
implausibilites possibles :
- diminution du niveau d'éducation le plus élevé de 1990 à 2000
- informations sur l'éducation manquantes en 2000 alors qu'elles existaient en 1990 
- la personne était trop jeune pour aller à l'école ou pour suivre un enseignement secondaire complet (âge &lt; 16 ans) ou un enseignement supérieur (âge &lt; 20 ans).
L'harmonisation des deux informations sur l'éducation (1990 et 2000) est basée sur le document du professeur Chaze "Harmonisation de la plus haute formation achevée" (2005).
Après l'harmonisation, créer une nouvelle catégorisation pour les fichiers standards SNC.</t>
  </si>
  <si>
    <t>Voir les informations de recodage de la variable v9_educ</t>
  </si>
  <si>
    <t>Voir les informations de recodage de la variable v0_educ</t>
  </si>
  <si>
    <t xml:space="preserve">Comme l'identifiant du bâtiment est unique au sein du "Zählkreis", nous avons trié gw_zgde, gw_zkrs et gw_gbnr en une seule fois, puis généré v9_buildid. </t>
  </si>
  <si>
    <t>1-605 (avec espace) (2019)
.</t>
  </si>
  <si>
    <t>1-1705 (avec espace)
1-9916 (avec espace)
.</t>
  </si>
  <si>
    <t>1-1676567 (avec espace)
.</t>
  </si>
  <si>
    <t xml:space="preserve">1-1307417 (avec espace)
</t>
  </si>
  <si>
    <r>
      <rPr>
        <sz val="11"/>
        <rFont val="Arial"/>
        <family val="2"/>
      </rPr>
      <t>Suisse
Permis d'établissement  (C) 
Permis de séjour (B)
Permis de séjour saisonnier (A)
Requérants d'asile (N)
Autorisation DFAE, Diplomate, Fonctionnaire</t>
    </r>
    <r>
      <rPr>
        <sz val="11"/>
        <color theme="1"/>
        <rFont val="Arial"/>
        <family val="2"/>
      </rPr>
      <t xml:space="preserve">
Court séjour, visite, autre, inconnu
Manquant</t>
    </r>
  </si>
  <si>
    <t>Complete ICD10 code
Manquant</t>
  </si>
  <si>
    <t>0001 jusque 9999</t>
  </si>
  <si>
    <t xml:space="preserve">1 -&gt; 1
2 -&gt; 2
2 -&gt; 4, si séparation et non manquant
3 -&gt; 3
4 -&gt; 4
5 -&gt; 4
6 -&gt; 2
6 -&gt; 4, si séparation et non manquant 
7 -&gt; 4, if CancelationPartnerReason -&gt; 1, 2, missing
7 -&gt; 3, if CancelationPartnerReason -&gt; 3, 4
-9 -&gt; . </t>
  </si>
  <si>
    <t>Retour vers Aperçu</t>
  </si>
  <si>
    <t>Personnes</t>
  </si>
  <si>
    <t>Ménages</t>
  </si>
  <si>
    <t>Bâtiments</t>
  </si>
  <si>
    <t xml:space="preserve">Commande de données (x)
</t>
  </si>
  <si>
    <t>Ménages: Personne de référence</t>
  </si>
  <si>
    <t>Ménages: Partenaire de la personne de référence</t>
  </si>
  <si>
    <t>Numéro
N'existe pas</t>
  </si>
  <si>
    <t>1nnnnnnnn = BI en langue allemande
2nnnnnnnn = BI en langue française
3nnnnnnnn = BI en langue italienne
4nnnnnnnn = BI en langue romanche
9nnnnnnnn = numéro de BI créé dans le cadre de la comparaison de domicile
N'existe pas</t>
  </si>
  <si>
    <t xml:space="preserve">Coordonnées métriques ou hectométriques sur l'axe Est-Ouest
N'existe pas
</t>
  </si>
  <si>
    <t>Domicilié économiquement et légalement (a)
Seulement domicilié légalement (b)
Seulement domicilié économiquement (c )
N'existe pas</t>
  </si>
  <si>
    <t>Liste officielle des communes de la Suisse, au 4 décembre 1990
Si WKAT = 2 étranger
Si WKAT = 3 étranger
Domicile légal inconnu
N'existe pas</t>
  </si>
  <si>
    <t>Si le mois de naissance = 1, 3, 5, 7, 8, 10, 12
Si le mois de naissance = 4, 6, 9, 11
Si le mois de naissance = 2 et si l'année est bissextile
N'existe pas</t>
  </si>
  <si>
    <t>Années
N'existe pas</t>
  </si>
  <si>
    <t>Liste officielle des communes de la Suisse, au 4 décembre 1990
Codes des Etats et des territoires 1990, Liste 4
Etranger inconnu
Sans indication</t>
  </si>
  <si>
    <t>Masculin
Féminin
N'existe pas</t>
  </si>
  <si>
    <t>Célibataire
Marié ("séparé" inclus)
Veuf
Divorcé
N'existe pas</t>
  </si>
  <si>
    <t>Suisse
Étranger
N'existe pas</t>
  </si>
  <si>
    <t>Voir codes des Etats 1990, Liste 4
Pays d'origine inconnu
Suisse</t>
  </si>
  <si>
    <t>Liste 5
Pays inconnu
Suisse</t>
  </si>
  <si>
    <t>À la même adresse
Dans la même commune à une autre adresse
Autre commune, âgé de moins de 5 ans
Sans indication</t>
  </si>
  <si>
    <t>Liste officielle des communes de la Suisse, au 4 déc 1990
Codes des Etats et des territoires 1990, liste 4 étranger inconnu
Âgé de moins de 5 ans
Sans indication</t>
  </si>
  <si>
    <t>Liste officielle des communes de la Suisse, au 4 déc 1990
Codes des Etats et des territoires 1990, liste 4
Étranger inconnu
Âgé de moins de 5 ans, P-WOR5 avec indication</t>
  </si>
  <si>
    <r>
      <t>Dans les ménages collectifs:
P</t>
    </r>
    <r>
      <rPr>
        <sz val="11"/>
        <color theme="1"/>
        <rFont val="Arial"/>
        <family val="2"/>
      </rPr>
      <t>ersonnel de l'établissement, domicilié dans le ménage collectif
Pensionnaire de l'établissement
Autre personne dans le ménage collectif, dans le ménage sans référence</t>
    </r>
    <r>
      <rPr>
        <i/>
        <sz val="11"/>
        <color theme="1"/>
        <rFont val="Arial"/>
        <family val="2"/>
      </rPr>
      <t xml:space="preserve">
Dans les ménages privés:
É</t>
    </r>
    <r>
      <rPr>
        <sz val="11"/>
        <color theme="1"/>
        <rFont val="Arial"/>
        <family val="2"/>
      </rPr>
      <t>poux, épouse, personne vivant en union libre (uniqu. couple)
Autre chef de ménage
Fils, Fille, Beau-fils, Belle-fille
Père, Mère, Beau-père, Belle-mère
Frère, Soeur
Autre parent du/des chef(s) de ménage 
Autre personne vivant dans le ménage
N'existe pas</t>
    </r>
  </si>
  <si>
    <t>Analogue à P-STHH
Personnes avec WKAT=2</t>
  </si>
  <si>
    <t>Analogue à P-EPNR
Les personnes ne formant pas un couple, les personnes avec WKAT=2</t>
  </si>
  <si>
    <t>Personne de référence dans le ménage privé
Autres personnes</t>
  </si>
  <si>
    <t>Personne de référence dans le ménage privé
Personnes avec WKAT=2</t>
  </si>
  <si>
    <t>Liste 7
Aucune indication</t>
  </si>
  <si>
    <t>Liste 8
N'existe pas</t>
  </si>
  <si>
    <t>Liste 10
N'existe pas</t>
  </si>
  <si>
    <t>Nombre d'heures par semaine (en tout) 
Aucune indication
Non actif occupé</t>
  </si>
  <si>
    <t>Liste 11
N'existe pas</t>
  </si>
  <si>
    <r>
      <t xml:space="preserve">Nomenclature des professions (Liste 12)
</t>
    </r>
    <r>
      <rPr>
        <sz val="11"/>
        <rFont val="Arial"/>
        <family val="2"/>
      </rPr>
      <t>Le registre des professions (codes à 13 chiffres) est disponible sur demande auprès de l'OFS
Sans indication</t>
    </r>
    <r>
      <rPr>
        <sz val="11"/>
        <color theme="1"/>
        <rFont val="Arial"/>
        <family val="2"/>
      </rPr>
      <t xml:space="preserve">
</t>
    </r>
  </si>
  <si>
    <r>
      <t xml:space="preserve">Voir Nomenclature des professions (Liste 12)
Pour les personnes actives: n'existe pas
Pour les personnes non actives: sans indication de la dernière profession exercée ou personne n'ayant encore jamais été active occupée
</t>
    </r>
    <r>
      <rPr>
        <sz val="11"/>
        <rFont val="Arial"/>
        <family val="2"/>
      </rPr>
      <t>Le registre des professions (codes à 13 chiffres) est disponible sur demande auprès de l'OFS</t>
    </r>
  </si>
  <si>
    <t>Dans le ménage toutes les personnes possèdent WKAT = 1
Autres ménages
Comprenant toutes les personnes (WKAT = 1,2,3)
Sur la base du domicile économique (WKAT = 1,3)
N'existe pas</t>
  </si>
  <si>
    <t>Nombre de filles célibataires âgées de 16 ans et plus avec STHH=21
Aucune fille célibataire de 16 ans et plus dans le ménage ou ménage collectif</t>
  </si>
  <si>
    <t>Nombre de personnes avec STHH=11 Situation dans le ménage =  Époux, Épouse, Personne vivant en union libre
Aucun couple chef de ménage dans le ménage
Ménage collectif</t>
  </si>
  <si>
    <t>Nombre de personnes avec STHH=12: Situation dans le ménage = Autre chef de ménage
Aucun autre chef de ménage dans le ménage 
Ménage collectif</t>
  </si>
  <si>
    <t>Nombre de personnes avec STHH=22: Situation dans le ménage = Père, Mère, Beau-père, Belle-mère
Aucun beau-parent dans le ménage 
Ménage collectif</t>
  </si>
  <si>
    <t xml:space="preserve">Nombre de personnes avec STHH=23: Situation dans le ménage = Frère, Sœur
Aucun frère et sœur dans le ménage
Ménage collectif
</t>
  </si>
  <si>
    <t>Nombre de personnes avec STHH=31: Situation dans le ménage = Autre personne vivant dans le ménage
Aucune autre personne dans le ménage ou ménage collectif</t>
  </si>
  <si>
    <t>Masculin
Féminin
Ménage collectif</t>
  </si>
  <si>
    <t>Nombre de niveaux
Habitation de fortune (H-GART=4) OU enregistrement bâtiment fictif (H-GART=5)</t>
  </si>
  <si>
    <t>Chiffre
Pas d'unité-logement dans le bâtiment 
Habitation de fortune (G-GART=4) 
Enregistrement-bâtiment fictif (G-GART=5)</t>
  </si>
  <si>
    <t>Chiffre
Pas d'unité-logement occupée selon le domicile économique 
dans le bâtiment 
Habitation de fortune (G-GART= 4)</t>
  </si>
  <si>
    <t>Chiffre
Pas d'unité-logement occupée selon le domicile légal dans le 
bâtiment 
Habitation de fortune (G-GART= 4)</t>
  </si>
  <si>
    <t>Chiffre
Bâtiment non habité</t>
  </si>
  <si>
    <t>Chiffre
Bâtiment non habité sous l'angle économique</t>
  </si>
  <si>
    <t>Chiffre
Bâtiment non habité sous l'angle légal</t>
  </si>
  <si>
    <t>Le ménage sans référence d'un secteur de recensement existant a été attribué à l'hectare de ce secteur comprenant le plus grand nombre d'habitants. Le ménage sans référence d'un secteur de recensement a été attribué à l'hectare le plus peuplé de la commune. cf. volume méthodologique</t>
  </si>
  <si>
    <t>Complété automatiquement dans le cas où aucune donnée ne figurait sous GORT. Non prévu pour les évaluations habituelles (y compris le programme de base des tableaux), uniquement pour des analyses spéciales des migrations dans le cadre d'ESPOP.</t>
  </si>
  <si>
    <t>Idem</t>
  </si>
  <si>
    <t>Ménages: personne de référence</t>
  </si>
  <si>
    <t>Ménages: partenaire de la personne de référence</t>
  </si>
  <si>
    <t>Ménages: bâtiments et logements</t>
  </si>
  <si>
    <t>Nouveaux bâtiments, pas de secteur attribué</t>
  </si>
  <si>
    <t xml:space="preserve">Ménage constitué uniquement de personnes avec WKAT=1 ou de personnes avec différentes WKAT
Ménage constitué uniquement de personnes avec WKAT=3  
Ménage constitué uniquement de personnes avec WKAT=4 </t>
  </si>
  <si>
    <r>
      <t xml:space="preserve">Niveau secondaire I </t>
    </r>
    <r>
      <rPr>
        <sz val="11"/>
        <rFont val="Arial"/>
        <family val="2"/>
      </rPr>
      <t xml:space="preserve">
Scolarité obligatoire 
Ecole de culture générale ou préparant à une formation professionnelle
</t>
    </r>
    <r>
      <rPr>
        <i/>
        <sz val="11"/>
        <rFont val="Arial"/>
        <family val="2"/>
      </rPr>
      <t xml:space="preserve">Niveau secondaire II </t>
    </r>
    <r>
      <rPr>
        <sz val="11"/>
        <rFont val="Arial"/>
        <family val="2"/>
      </rPr>
      <t xml:space="preserve">
Apprentissage, école professionnelle à plein temps 
Ecole préparant à la maturité 
Ecole normale
</t>
    </r>
    <r>
      <rPr>
        <i/>
        <sz val="11"/>
        <rFont val="Arial"/>
        <family val="2"/>
      </rPr>
      <t xml:space="preserve">Niveau tertiaire </t>
    </r>
    <r>
      <rPr>
        <sz val="11"/>
        <rFont val="Arial"/>
        <family val="2"/>
      </rPr>
      <t xml:space="preserve">
Formation professionnelle supérieure 
Ecole professionnelle supérieure 
Haute école spécialisée 
Université, haute école
Ménage collectif 
Sans indication
Aucune formation en cours</t>
    </r>
  </si>
  <si>
    <r>
      <t xml:space="preserve">Aucune formation achevée
</t>
    </r>
    <r>
      <rPr>
        <i/>
        <sz val="11"/>
        <rFont val="Arial"/>
        <family val="2"/>
      </rPr>
      <t xml:space="preserve">Niveau secondaire I </t>
    </r>
    <r>
      <rPr>
        <sz val="11"/>
        <rFont val="Arial"/>
        <family val="2"/>
      </rPr>
      <t xml:space="preserve">
Scolarité obligatoire 
Ecole de culture générale ou préparant à une formation professionnelle
</t>
    </r>
    <r>
      <rPr>
        <i/>
        <sz val="11"/>
        <rFont val="Arial"/>
        <family val="2"/>
      </rPr>
      <t xml:space="preserve">Niveau secondaire II </t>
    </r>
    <r>
      <rPr>
        <sz val="11"/>
        <rFont val="Arial"/>
        <family val="2"/>
      </rPr>
      <t xml:space="preserve">
Apprentissage, école professionnelle à plein temps 
Ecole préparant à la maturité 
Ecole normale
</t>
    </r>
    <r>
      <rPr>
        <i/>
        <sz val="11"/>
        <rFont val="Arial"/>
        <family val="2"/>
      </rPr>
      <t xml:space="preserve">Niveau tertiaire </t>
    </r>
    <r>
      <rPr>
        <sz val="11"/>
        <rFont val="Arial"/>
        <family val="2"/>
      </rPr>
      <t xml:space="preserve">
Formation professionnelle supérieure 
Ecole professionnelle supérieure 
Haute école spécialisée 
Université, haute école
Ménage collectif 
Sans indication</t>
    </r>
  </si>
  <si>
    <r>
      <t>Personnes actives occupées</t>
    </r>
    <r>
      <rPr>
        <sz val="11"/>
        <rFont val="Arial"/>
        <family val="2"/>
      </rPr>
      <t xml:space="preserve">
Actifs occupés à plein temps
Actifs occupés avec un ou plusieurs emplois à temps partiel
Apprentis
Actifs occupés sans autre indication
</t>
    </r>
    <r>
      <rPr>
        <i/>
        <sz val="11"/>
        <rFont val="Arial"/>
        <family val="2"/>
      </rPr>
      <t>Personnes sans emploi, au chômage</t>
    </r>
    <r>
      <rPr>
        <sz val="11"/>
        <rFont val="Arial"/>
        <family val="2"/>
      </rPr>
      <t xml:space="preserve">
Personnes sans emploi, au chômage
</t>
    </r>
    <r>
      <rPr>
        <i/>
        <sz val="11"/>
        <rFont val="Arial"/>
        <family val="2"/>
      </rPr>
      <t>Personnes non actives</t>
    </r>
    <r>
      <rPr>
        <sz val="11"/>
        <rFont val="Arial"/>
        <family val="2"/>
      </rPr>
      <t xml:space="preserve">
Non actifs en formation
Non actifs effectuant un travail bénévole
Non actifs effectuant des travaux ménagers
Non actifs rentiers ou retraités
Autres non actifs
Ménage collectif</t>
    </r>
  </si>
  <si>
    <r>
      <t>Actifs occupés à plein temps</t>
    </r>
    <r>
      <rPr>
        <sz val="11"/>
        <rFont val="Arial"/>
        <family val="2"/>
      </rPr>
      <t xml:space="preserve">
Actifs occupés à plein temps
Apprentis
</t>
    </r>
    <r>
      <rPr>
        <i/>
        <sz val="11"/>
        <rFont val="Arial"/>
        <family val="2"/>
      </rPr>
      <t>Actifs occupés à temps partiel</t>
    </r>
    <r>
      <rPr>
        <sz val="11"/>
        <rFont val="Arial"/>
        <family val="2"/>
      </rPr>
      <t xml:space="preserve">
Actifs occupés à temps partiel 70% et plus
Actifs occupés à temps partiel 50-69%
Actifs occupés à temps partiel 20-49%
Actifs occupés à temps partiel moins de 20%
Actifs occupés à temps partiel sans autre indication
Ménage collectif
Actifs occupés sans indication
Personnes non actives ou sans emploi</t>
    </r>
  </si>
  <si>
    <r>
      <t>Personnes actives occupées</t>
    </r>
    <r>
      <rPr>
        <sz val="11"/>
        <rFont val="Arial"/>
        <family val="2"/>
      </rPr>
      <t xml:space="preserve">
Actifs occupés à plein temps
Actifs occupés avec un ou plusieurs emplois à temps partiel
Apprentis
Actifs occupés sans autre indication
</t>
    </r>
    <r>
      <rPr>
        <i/>
        <sz val="11"/>
        <rFont val="Arial"/>
        <family val="2"/>
      </rPr>
      <t>Personnes sans emploi, au chômage</t>
    </r>
    <r>
      <rPr>
        <sz val="11"/>
        <rFont val="Arial"/>
        <family val="2"/>
      </rPr>
      <t xml:space="preserve">
Personnes sans emploi, au chômage
</t>
    </r>
    <r>
      <rPr>
        <i/>
        <sz val="11"/>
        <rFont val="Arial"/>
        <family val="2"/>
      </rPr>
      <t>Personnes non actives</t>
    </r>
    <r>
      <rPr>
        <sz val="11"/>
        <rFont val="Arial"/>
        <family val="2"/>
      </rPr>
      <t xml:space="preserve">
Non actifs en formation
Non actifs effectuant un travail bénévole
Non actifs effectuant des travaux ménagers
Non actifs rentiers ou retraités
Autres non actifs
Ménage collectif, ménage privé sans partenaire de la personne de référence</t>
    </r>
  </si>
  <si>
    <r>
      <t>Actifs occupés à plein temps</t>
    </r>
    <r>
      <rPr>
        <sz val="11"/>
        <rFont val="Arial"/>
        <family val="2"/>
      </rPr>
      <t xml:space="preserve">
Actifs occupés à plein temps
Apprentis
</t>
    </r>
    <r>
      <rPr>
        <i/>
        <sz val="11"/>
        <rFont val="Arial"/>
        <family val="2"/>
      </rPr>
      <t>Actifs occupés à temps partiel</t>
    </r>
    <r>
      <rPr>
        <sz val="11"/>
        <rFont val="Arial"/>
        <family val="2"/>
      </rPr>
      <t xml:space="preserve">
Actifs occupés à temps partiel 70% et plus
Actifs occupés à temps partiel 50-69%
Actifs occupés à temps partiel 20-49%
Actifs occupés à temps partiel moins de 20%
Actifs occupés à temps partiel sans autre indication
Ménage collectif, ménage privé sans partenaire de la personne 
de référence
Actifs occupés sans indication
Personnes non actives ou sans emploi</t>
    </r>
  </si>
  <si>
    <r>
      <t xml:space="preserve">
Bâtiment habité comprenant au minimum une unité-logement   
</t>
    </r>
    <r>
      <rPr>
        <b/>
        <sz val="11"/>
        <rFont val="Arial"/>
        <family val="2"/>
      </rPr>
      <t xml:space="preserve">ou 
</t>
    </r>
    <r>
      <rPr>
        <sz val="11"/>
        <rFont val="Arial"/>
        <family val="2"/>
      </rPr>
      <t xml:space="preserve">Habitation de fortune habitée par au moins 1 ménage privé 
Bâtiment non habité comprenant au moins un
logement ou habitation de fortune habitée uniquement sous l'angle civil par un ménage privé 
Bâtiment non habité, à usage exclusivement collectif   
Bâtiment habité ou habitation de fortune, à usage 
exclusivement collectif (pas de ménage privé, pas d’unité-
logement)  
Bâtiment habité ou habitation de fortune comprenant uniquement un ménage administratif
Bâtiment ou habitation de fortune avec uniquement un ménage collectif ou un ménage administratif n'existant que sous l'angle civil
</t>
    </r>
    <r>
      <rPr>
        <sz val="11"/>
        <color indexed="10"/>
        <rFont val="Arial"/>
        <family val="2"/>
      </rPr>
      <t xml:space="preserve">
</t>
    </r>
  </si>
  <si>
    <t>Valeur &gt; 25 possible uniquement dans les ménages collectifs</t>
  </si>
  <si>
    <t>Nombre de personnes  qui sont actives occupées ou non occupées
Valeur &gt; 25 possible uniquement dans les ménages collectifs</t>
  </si>
  <si>
    <t>Indépendant du nombre d'activités à temps partiel</t>
  </si>
  <si>
    <t>Aussi bien les personnes avec un futur emploi garanti que celles en quête d'un emploi.</t>
  </si>
  <si>
    <t>Nombre d'enfants actifs occupés avec P_STHHW=121.
Indépendant de P_ZIVL; âge: à partir de 15 ans</t>
  </si>
  <si>
    <t>Nombre d'enfants célibataires actifs occupés avec P_STHHW=121
P_ZIVL=1; âge: à partir de 15 ans</t>
  </si>
  <si>
    <t>Répertoire des codes relatifs aux pays, liste 4</t>
  </si>
  <si>
    <t>Recodes standard dans SuperCross pour le regroupement des pays, liste 3b</t>
  </si>
  <si>
    <t>En cas de réponses multiples, l'ordre de priorité suivant est utilisé pour déterminer le plus haut diplôme obtenu: 34, 33, 32, 31, 23, 22, 21, 12, 11</t>
  </si>
  <si>
    <t>Base: système général de la NOGA, répertoire des codes relatifs aux genres d'activités économiques, cf. Liste 16
Niveaux de classification du secteur économique:
1e à 2e position = division
1e à 3e position = groupe
1e à 4e position = classe
1e à 5e position = genre
Secteurs économiques:
Secteur 1 = NOGA A-B
Secteur 2 = NOGA C-F
Secteur 3 = NOGA G-Q</t>
  </si>
  <si>
    <t>Recodes standard dans SuperCross pour le regroupement des pays, liste 3b.</t>
  </si>
  <si>
    <t>En cas de réponses multiples, l'ordre de priorité suivant est utilisé pour déterminer le plus haut diplôme obtenu : 34,33,32,31,23,22,21,12,11</t>
  </si>
  <si>
    <t>Répertoire des codes  relatifs aux formes juridiques de l'entreprise, de l'école, cf. Liste 17</t>
  </si>
  <si>
    <t>98 signifie 98 heures  et plus</t>
  </si>
  <si>
    <t>98 signifie 98 heures et plus</t>
  </si>
  <si>
    <t xml:space="preserve">Lorsque H_GART = 4, seuls les champs H_BARW 
/BARZ , H_APTO, H_APWS, H_APZR et H_WTYP  comprennent des valeurs &gt; 0.    </t>
  </si>
  <si>
    <t>H_GART =4 ou H_GART=5</t>
  </si>
  <si>
    <t>Non 
Oui 
Habitation de fortune ou Bâtiment fictif</t>
  </si>
  <si>
    <t>H_RENO =1 ou H_GART =4 ou H_GART=5</t>
  </si>
  <si>
    <t>1 à 98 niveaux  
Habitation de fortune ou Bâtiment fictif</t>
  </si>
  <si>
    <t>Propriétaire du bâtiment (type de
propriétaire)</t>
  </si>
  <si>
    <t>Oui 
Non  
Habitation de fortune ou Bàtiment fictif</t>
  </si>
  <si>
    <t>Poêle 
Chauffage central pour un logement 
Chauffage central pour un bâtiment 
Chauffage à distance (eau surchauffée ou vapeur) 
Chauffage central pour plusieurs bâtiments 
Pas de chauffage 
Habitation de fortune ou
Bâtiment fictif</t>
  </si>
  <si>
    <t>Mazout 
Bois 
Pompe à chaleur 
Electricité 
Gaz 
Chaleur à distance 
Charbon 
Capteur solaire 
Autres
Bâtiment sans chauffage ou Habitation de fortune ou Bâtiment fictif</t>
  </si>
  <si>
    <t>Sans indication
Combinaisons de 2 agents énergétiques (voir signification des codes sous H_ENH1). Les 2 indications sont triées par ordre croissant.
Ex: si H_ENH2 = bois et électricité
         -&gt;  H_ENH2= 24
Bâtiment sans chauffage ou Habitation de fortune ou Bâtiment fictif</t>
  </si>
  <si>
    <t>Agents énergétiques utilisés pour le 
chauffage d'appoint</t>
  </si>
  <si>
    <t>Production d'eau chaude</t>
  </si>
  <si>
    <t>H_HEIZ=6 ou H_GART =4 ou H_GART=5</t>
  </si>
  <si>
    <t>Avec production d'eau chaude 
Sans production d'eau chaude 
Habitation de fortune ou Bâtiment fictif</t>
  </si>
  <si>
    <t>Mazout 
Bois 
Pompe à chaleur 
Electricité 
Gaz 
Chaleur à distance
Charbon
Capteur solaire 
Autres          
Bâtiment sans production d'eau chaude     
ou Habitation de fortune ou Bâtiment fictif</t>
  </si>
  <si>
    <t>Mazout 
Bois 
Pompe à chaleur 
Electricité 
Gaz 
Chaleur à distance
Charbon
Capteur solaire 
Autres 
Bâtiment sans production d'eau chaude    
ou Habitation de fortune ou Bâtiment fictif</t>
  </si>
  <si>
    <t>Nombre d'enregistrements-
logement par bâtiment</t>
  </si>
  <si>
    <t xml:space="preserve">Aucun H_BARW=1,2,3 et H_KCHE=1,2 
Somme H_BARW=1,2,3 et H_KCHE=1,2 
</t>
  </si>
  <si>
    <t xml:space="preserve">Nombre total de logements dans le 
bâtiment </t>
  </si>
  <si>
    <t>Aucun logement dans le bâtiment    
Nombre de logements dans le bâtiment</t>
  </si>
  <si>
    <t xml:space="preserve">Aucun H_BARW=1
Somme H_BARW = 1 </t>
  </si>
  <si>
    <t>Aucune unité-logement (dom. écon.) dans le bâtiment    
Nombre d'unités-logement (dom. écon.) dans le bâtioment</t>
  </si>
  <si>
    <t xml:space="preserve">Nombre d'unités-logement (dans le 
bâtiment) occupées selon le domicile économique </t>
  </si>
  <si>
    <t>Aucune unité-logement (dom. écon.) dans le bâtiment    
Nombre d'unités-logement (dom. écon.) dans le bâtiment</t>
  </si>
  <si>
    <t xml:space="preserve">Aucun H_BARZ=1         
Somme des H_BARZ= 1 </t>
  </si>
  <si>
    <t>Aucune unité-logement (dom. civil) dans le bâtiment    
Nombre d'unités-logement (dom. civil) dans le bâtiment</t>
  </si>
  <si>
    <t xml:space="preserve">Nombre d'unités-logement (dans le 
bâtiment) occupées selon le domicile civil </t>
  </si>
  <si>
    <t xml:space="preserve">Aucun enregistrement avec H_BARW=1 et H_KCHE=1,2 
Somme des enregistrements-logement avec H_BARW=1 et H_KCHE=1,2 </t>
  </si>
  <si>
    <t>Aucun logement occupé (dom. écon.) dans le bâtiment
Nombre de logements occupés (dom. écon.) dans le bâtiment</t>
  </si>
  <si>
    <t xml:space="preserve">Nombre de logements  (dans le 
bâtiment) occupés selon le domicile 
économique </t>
  </si>
  <si>
    <t>Aucun logement occupé (dom. civil) dans le bâtiment
Nombre de logements occupés (dom. civil) dans le bâtiment</t>
  </si>
  <si>
    <t xml:space="preserve">Nombre de logements (dans le 
bâtiment) occupés selon le domicile 
civil </t>
  </si>
  <si>
    <t>Aucun enregistrement avec H_BARW = 2, 4  
Somme des enregistrements avec H_BARW = 2, 4</t>
  </si>
  <si>
    <t xml:space="preserve">Nombre d’unités-logement (dans le 
bâtiment) habitées temporairement selon le domicile économique 
</t>
  </si>
  <si>
    <t>Aucun enregistrement avec H_BARZ = 2, 4  
Somme des enregistrements avec H_BARZ = 2, 4</t>
  </si>
  <si>
    <t xml:space="preserve">Nombre d’unités-logement (dans le 
bâtiment) habitées temporairement selon le domicile civil </t>
  </si>
  <si>
    <t xml:space="preserve">Aucun enregistrement avec H_BARW = 2  
Somme des enregistrements avec H_BARW = 2 </t>
  </si>
  <si>
    <t xml:space="preserve">Nombre de logements (dans le 
bâtiment) habités temporairement selon le domicile économique 
</t>
  </si>
  <si>
    <t>Aucun logement habité temporairement (dom. écon.) dans le bâtiment    
Nombre de logements habités temporairement (dom. écon.) dans le bâtiment</t>
  </si>
  <si>
    <t>Aucune unité-logement habitée temporairement (dom. civil) dans le bâtiment    
Nombre d'unités-logement habitées temporairement (dom. civil) dans le bâtiment</t>
  </si>
  <si>
    <t>Aucune unité-logement habitée temporairement (dom. écon.) dans le bâtiment    
Nombre d'unités-logement habitées temporairement (dom. écon.) dans le bâtiment</t>
  </si>
  <si>
    <t>Aucun enregistrement avec H_BARZ = 2  
Somme des enregistrements avec H_BARZ = 2</t>
  </si>
  <si>
    <t>Aucun logement habité temporairement (dom. civil) dans le bâtiment    
Nombre de logements habités temporairement (dom. civil) dans le bâtiment</t>
  </si>
  <si>
    <t xml:space="preserve">Nombre de logements (dans le bâtiment) habités temporairement selon le domicile civil </t>
  </si>
  <si>
    <t>Aucun enregistrement avec H_BARW = 3  
Somme des enregistrements avec H_BARW = 3</t>
  </si>
  <si>
    <t>Aucun logement non occupé dans le bâtiment    
Nombre de logements non occupés dans le bâtiment</t>
  </si>
  <si>
    <t>Nombre de logements non occupés dans le bâtiment</t>
  </si>
  <si>
    <t>Aucun enregistrement avec H_BARW=1 
Personnes (dom. écon.) dans les H_BARW = 1 du bâtiment</t>
  </si>
  <si>
    <t>Aucune personne dans des unités-logement du bâtiment selon le dom. écon. 
Nombre de personnes dans des unités-logement du bâtiment selon le dom. écon.</t>
  </si>
  <si>
    <t>Nombre de personnes du bâtiment dans des unités-logement (selon le domicile économique)</t>
  </si>
  <si>
    <t>Aucune personne dans des logements du bâtiment selon le dom. écon. 
Nombre de personnes dans des logements du bâtiment selon le dom. écon.</t>
  </si>
  <si>
    <t>Nombre de personnes du bâtiment dans des logements (selon le 
domicile économique)</t>
  </si>
  <si>
    <t>Aucun enregistrement avec H_BARW = 1 et 
H_KCHE = 1,2  
Personnes (dom. écon.) dans les H_BARW = 1 avec H_KCHE = 1, 2 du bâtiment</t>
  </si>
  <si>
    <t>Aucune personne dans des unités-logement du bâtiment selon le dom. civil 
Nombre de personnes dans des unités-logement du bâtiment selon le dom. civil</t>
  </si>
  <si>
    <t>Nombre de personnes du bâtiment dans des unités-logement (selon le domicile civil)</t>
  </si>
  <si>
    <t>Aucun enregistrement avec H_BARZ = 1 et 
H_KCHE = 1,2  
Personnes (dom. civil) dans les H_BARZ = 1 avec H_KCHE = 1, 2 du bâtiment</t>
  </si>
  <si>
    <t>Aucune personne dans des logements du bâtiment selon le dom. civil
Nombre de personnes dans des logements du bâtiment selon le dom. civil</t>
  </si>
  <si>
    <t>Nombre de personnes du bâtiment dans des logements (selon le 
domicile civil)</t>
  </si>
  <si>
    <t>Aucun enregistrement avec H_BARW = 5  
Personnes (dom. écon.) dans les H_BARW = 5, 92 du bâtiment</t>
  </si>
  <si>
    <t>Pas de ménage collectif d’un point de vue économique dans le bâtiment
Nombre de personnes dans des ménages collectifs du bâtiment selon le dom. écon.</t>
  </si>
  <si>
    <t>Aucun enregistrement avec H_BARZ = 5  
Personnes (dom. civil) dans les H_BARZ = 5, 92 du bâtiment</t>
  </si>
  <si>
    <t>Pas de ménage collectif d’un point de vue civil dans le bâtiment  
Nombre de personnes dans des ménages collectifs du bâtiment selon le dom. civil</t>
  </si>
  <si>
    <t>Aucun enregistrement avec H_BARW = 7
Personnes (dom. écon.) dans le H_BARW = 7, 93 du bâtiment</t>
  </si>
  <si>
    <t>Aucun enregistrement avec H_BARZ = 7
Personnes (dom. écon.) dans le H_BARZ = 7, 93 du bâtiment</t>
  </si>
  <si>
    <t>H_BARW # 1, 2, 3, 4 ou H_GART = 4 ou H_GART=5</t>
  </si>
  <si>
    <t>BARW # 1, 2, 3, 4 ou H_GART = 4 ou H_GART=5</t>
  </si>
  <si>
    <t xml:space="preserve">Loyer mensuel net (en francs)   </t>
  </si>
  <si>
    <t>Le loyer mensuel net est pris en considération lorsqu’il s’agit de logements occupés par des locataires ou des 
coopérateurs: (H_BARW = 1 et H_BTYP = 1,2)
H_BTYP #  1, 2 ou H_BARW # 1, 2, 3, 4 ou H_GART = 4    
ou H_GART=5</t>
  </si>
  <si>
    <t>Indication manquante (seulement si l'unité-logement est occupée par un locataire ou un coopérateur) 
1 à 99998 Fr.
L'unité-logement n'est pas occupée par un locataire ou un coopérateur ou il ne s'agit pas d'une unité-logement ou il s’agit d’une habitation de fortune ou il s'agit d'un bâtiment fictif</t>
  </si>
  <si>
    <t>Il ne peut y avoir des pièces d'habitation indépendantes que si l'unité-logement comporte au moins 1 pièce  (H_ZIMM).
H_BARW # 1, 2, 3, 4 ou H_GART = 4 ou H_GART=5</t>
  </si>
  <si>
    <t xml:space="preserve">Pour sélectionner des unités-logement, prendre H_BARW = 1, 2, 3, 4.
Les enregistrements-logement qui portent des H_BARW = 91,92,93 ne se trouvent pas dans des bâtiments réels.
H_BARW = 8 correspond à H_BARZ = 5, 7 </t>
  </si>
  <si>
    <t>Mode d'utilisation du logement  sous 
l'angle du domicile civil</t>
  </si>
  <si>
    <t>Nombre total de personnes dans 
l'unité-logement</t>
  </si>
  <si>
    <t xml:space="preserve">H_BARW # 1 et H_BARZ # 1 ou H_GART = 4
Calcul: H_APTO * 100 / (H_ZIMM + H_ZUZI) pour chaque BARW=1 avec (H_APTO &gt; 0 et H_ZIMM &gt; 0)
SuperCROSS contient également des nombres entiers qu'il convient de diviser par 100. 
Pièces d'habitation = pièces contiguës (H_ZIMM) + pièces d'habitation indépendantes (H_ZUZI) </t>
  </si>
  <si>
    <t xml:space="preserve">Habitants par pièce d'habitation (selon le nombre total d'habitants dans l'unité-logement)   
</t>
  </si>
  <si>
    <t xml:space="preserve">H_BARW # 1 ou H_GART = 4
Calcul: H_APWS * 100/ (H_ZIMM + H_ZUZI) pour chaque BARW=1 avec (H_APWS &gt; 0 et H_ZIMM &gt; 0)
SuperCROSS contient également des nombres entiers qu'il convient de diviser par 100.
Pièces d'habitation = pièces contiguës (H_ZIMM) + pièces d'habitation indépendantes (H_ZUZI) </t>
  </si>
  <si>
    <t xml:space="preserve">Il ne s’agit pas d'une unité-logement occupée sous l'angle économique ou il s’agit d’une habitation de fortune 
Habitants (x 100) par pièce d'habitation (dom. écon.)
La valeur obtenue est un nombre entier. 
ATTENTION: Pour obtenir le nombre d'habitants par pièce d'habitation, diviser par 100 la valeur de ce champ.
</t>
  </si>
  <si>
    <t xml:space="preserve">H_BARW # 1 ou H_FLAE = 0 ou H_GART = 4  
Calcul: H_FLAE / H_APWS pour chaque (H_APWS &gt; 0 et H_FLAE &gt;  0)
Le résultat du calcul est arrondi au m2. </t>
  </si>
  <si>
    <t xml:space="preserve">Il ne s'agit pas d'une unité-logement occupée sous l'angle économique  ou l’indication de la surface manque ou il s’agit d’une habitation de fortune Surface en m2 par habitant (dom. écon.)
</t>
  </si>
  <si>
    <t>Surface en m2 par habitant (selon le nombre d'habitants avec domicile 
économique dans l’unité-logement)</t>
  </si>
  <si>
    <t xml:space="preserve">H_BTYP #  1, 2 ou H_MIET = 0 ou H_FLAE = 0 ou    
H_GART = 4
Calcul: H_MIET / H_FLAE pour chaque (H_MIET &gt; 0 et H_FLAE &gt;  0)
Le résultat du calcul est arrondi au franc.
</t>
  </si>
  <si>
    <t>H_BARW = 6, 7, 8
H_BARW = 1, 2, 3 et H_KCHE = 1, 2 
H_BARW= 1, 4  et H_KCHE = 3 
H_BARW = 1 ou (H_BARW = 2 et H_BARZ = 1) et H_GART = 4 
H_BARW = 5 et H_GART= 1, 3
H_BARW = 5 et H_GART = 4
H_GART=5</t>
  </si>
  <si>
    <t xml:space="preserve">Locaux pour MC non occupés, ménage administratif
Logement (unité-logement ayant une cuisine ou une cuisinette) 
Unité-logement sans cuisine ni cuisinette
Ménage privé dans habitation de fortune
Ménage collectif dans bâtiment à usage mixte
Ménage collectif dans habitation de fortune
Bâtiment fictif    </t>
  </si>
  <si>
    <t xml:space="preserve">Bâtiment </t>
  </si>
  <si>
    <t xml:space="preserve">Cette variable sert à la sélection d'enregistrements-bâtiment ou d'enregistrements-logement.
Ce fichier contient les bâtiments pris en compte dans le PST: G_GART = 1,2,3,4 et G_KATW = 0,1,2,3,4,5.
Sont exclus les bâtiments fictifs et bâtiments à ignorer sous l'angle économique (habités uniquement sous l'angle civil et ne comprenant aucune unité-logement avec cuisine/cuisinette). 
</t>
  </si>
  <si>
    <t>ZH à  JU</t>
  </si>
  <si>
    <t xml:space="preserve">Numéro de la commune </t>
  </si>
  <si>
    <t>Correspond au GLOC1 du Registre des bâtiments et
des logements (RegBL)</t>
  </si>
  <si>
    <t xml:space="preserve">Pas d'indication signifie que commune n'a pas de code local 2
</t>
  </si>
  <si>
    <t>Code local 2 (quartier, etc.)</t>
  </si>
  <si>
    <t>Code local 4</t>
  </si>
  <si>
    <t>Pas d'indication signifie que commune n'a pas de code local 3  
Codes définis par certaines communes</t>
  </si>
  <si>
    <t>Pas d'indication signifie que commune n'a pas de code local 4  
Codes définis par certaines communes</t>
  </si>
  <si>
    <t xml:space="preserve">Autre bâtiment: affecté principalement à d'autres usages que l'habitation (y compris les hôtels, homes, hôpitaux, etc.)
Bâtiment exclusivement à usage d'habitation
Autre bâtiment d'habitation, principalement à usage d'habitation (y compris les maisons paysannes liées à une exploitation 
agricole)
Habitation de fortune mobile (par ex. une roulotte) ou provisoire (par ex: une baraque)
</t>
  </si>
  <si>
    <r>
      <t xml:space="preserve">Construit avant 1919 
Construit entre 1919 et 1945 
Construit entre 1946 et 1960 
Construit entre 1961 et 1970 
Construit entre 1971 et 1980 
Construit entre 1981 et 1990 
Construit entre 1991 et 1995 
Construit entre 1996 et 2000 
Habitation de fortune 
</t>
    </r>
    <r>
      <rPr>
        <sz val="11"/>
        <color indexed="10"/>
        <rFont val="Arial"/>
        <family val="2"/>
      </rPr>
      <t xml:space="preserve">
</t>
    </r>
  </si>
  <si>
    <r>
      <t xml:space="preserve">G_GART =4 
</t>
    </r>
    <r>
      <rPr>
        <b/>
        <sz val="10.5"/>
        <color indexed="10"/>
        <rFont val="Times New Roman"/>
        <family val="1"/>
      </rPr>
      <t/>
    </r>
  </si>
  <si>
    <r>
      <t xml:space="preserve">Non 
Oui 
Habitation de fortune 
</t>
    </r>
    <r>
      <rPr>
        <sz val="11"/>
        <color indexed="10"/>
        <rFont val="Arial"/>
        <family val="2"/>
      </rPr>
      <t xml:space="preserve">
</t>
    </r>
  </si>
  <si>
    <t>Rénovation ou transformation du 
bâtiment depuis 1971</t>
  </si>
  <si>
    <r>
      <t xml:space="preserve">Rénovés entre 1971 et 1980 
Rénovés entre 1981 et 1990 
Rénovés entre 1991 et 1995 
Rénovés entre 1996 et 2000 
Pas de rénovation  </t>
    </r>
    <r>
      <rPr>
        <b/>
        <sz val="11"/>
        <rFont val="Arial"/>
        <family val="2"/>
      </rPr>
      <t>ou</t>
    </r>
    <r>
      <rPr>
        <sz val="11"/>
        <rFont val="Arial"/>
        <family val="2"/>
      </rPr>
      <t xml:space="preserve"> Habitation de fortune 
</t>
    </r>
  </si>
  <si>
    <t xml:space="preserve">1 à 98 niveaux  
Habitation de fortune  
</t>
  </si>
  <si>
    <t xml:space="preserve">Oui 
Non  
Habitation de fortune   
</t>
  </si>
  <si>
    <t xml:space="preserve">Un ou plusieurs particulier(s) (y compris indivision successorale)
Une sté coopérative de construction et d’habitation, dont les membres habitent la majorité des logements du bâtiment 
Une autre sté coopérative de construction et d’habitation
Un fonds de placement immobilier
Une autre société immobilière 
Une sté du secteur de la construction 
Une assurance 
Une institution de prévoyance professionnelle 
Une autre fondation 
Une association 
Une autre société 
Une commune (y compris communauté scolaire, paroisse, 
bourgeoisie), un canton, la Confédération 
Un autre genre de propriétaire 
Habitation de fortune     
</t>
  </si>
  <si>
    <t xml:space="preserve">Poêle 
Chauffage central pour un logement 
Chauffage central pour un bâtiment 
Chauffage à distance (eau surchauffée ou vapeur) 
Chauffage central pour plusieurs bâtiments 
Pas de chauffage 
Habitation de fortune 
</t>
  </si>
  <si>
    <r>
      <t xml:space="preserve">Mazout 
Bois 
Pompe à chaleur 
Electricité 
Gaz 
Chaleur à distance 
Charbon 
Capteur solaire 
Autres
Bâtiment sans chauffage </t>
    </r>
    <r>
      <rPr>
        <b/>
        <sz val="11"/>
        <rFont val="Arial"/>
        <family val="2"/>
      </rPr>
      <t xml:space="preserve">ou </t>
    </r>
    <r>
      <rPr>
        <sz val="11"/>
        <rFont val="Arial"/>
        <family val="2"/>
      </rPr>
      <t xml:space="preserve">Habitation de fortune
</t>
    </r>
  </si>
  <si>
    <t>Principal agent énergétique utilisé 
pour le chauffage</t>
  </si>
  <si>
    <r>
      <t xml:space="preserve">Sans indication
Combinaisons de 2 agents énergétiques (voir signification des codes sous G_ENH1). Les 2 indications sont triées par ordre croissant.
</t>
    </r>
    <r>
      <rPr>
        <u/>
        <sz val="11"/>
        <rFont val="Arial"/>
        <family val="2"/>
      </rPr>
      <t>Ex</t>
    </r>
    <r>
      <rPr>
        <sz val="11"/>
        <rFont val="Arial"/>
        <family val="2"/>
      </rPr>
      <t xml:space="preserve">: si G_ENH2 = bois et électricité
         -&gt;  G_ENH2 = 24
Bâtiment sans chauffage </t>
    </r>
    <r>
      <rPr>
        <b/>
        <sz val="11"/>
        <rFont val="Arial"/>
        <family val="2"/>
      </rPr>
      <t xml:space="preserve">ou </t>
    </r>
    <r>
      <rPr>
        <sz val="11"/>
        <rFont val="Arial"/>
        <family val="2"/>
      </rPr>
      <t xml:space="preserve">Habitation de fortune 
</t>
    </r>
  </si>
  <si>
    <t xml:space="preserve">Avec production d'eau chaude 
Sans production d'eau chaude 
Habitation de fortune
</t>
  </si>
  <si>
    <r>
      <t xml:space="preserve">Mazout 
Bois 
Pompe à chaleur 
Electricité 
Gaz 
Chaleur à distance
Charbon
Capteur solaire 
Autres          
Bâtiment sans production d'eau chaude     
</t>
    </r>
    <r>
      <rPr>
        <b/>
        <sz val="11"/>
        <rFont val="Arial"/>
        <family val="2"/>
      </rPr>
      <t xml:space="preserve">ou </t>
    </r>
    <r>
      <rPr>
        <sz val="11"/>
        <rFont val="Arial"/>
        <family val="2"/>
      </rPr>
      <t xml:space="preserve">Habitation de fortune 
</t>
    </r>
    <r>
      <rPr>
        <sz val="11"/>
        <color indexed="10"/>
        <rFont val="Arial"/>
        <family val="2"/>
      </rPr>
      <t xml:space="preserve">
</t>
    </r>
  </si>
  <si>
    <r>
      <t xml:space="preserve">Mazout 
Bois 
Pompe à chaleur 
Electricité 
Gaz 
Chaleur à distance
Charbon
Capteur solaire 
Autres 
Bâtiment sans production d'eau chaude    
</t>
    </r>
    <r>
      <rPr>
        <b/>
        <sz val="11"/>
        <rFont val="Arial"/>
        <family val="2"/>
      </rPr>
      <t xml:space="preserve">ou </t>
    </r>
    <r>
      <rPr>
        <sz val="11"/>
        <rFont val="Arial"/>
        <family val="2"/>
      </rPr>
      <t xml:space="preserve">Habitation de fortune 
</t>
    </r>
  </si>
  <si>
    <t>Catégorie de bâtiment sous 
l'angle du domicile civil</t>
  </si>
  <si>
    <r>
      <t xml:space="preserve">Bâtiment habité comprenant au minimum une unité-logement ou Habitation de fortune habitée par au moins 1 ménage privé 
Bâtiment non habité comprenant au moins un logement ou habitation de fortune habitée uniquement sous l'angle économique par un ménage privé 
Bâtiment non habité, à usage exclusivement collectif   
Bâtiment habité ou habitation de fortune, à usage 
exclusivement collectif (pas de ménage privé, pas d’unité-logement)  
Bâtiment habité ou habitation de fortune comprenant uniquement un ménage administratif
Bâtiment ou habitation de fortune avec un ou plusieurs ménages collectifs ou uniquement un ménage administratif n'existant que sous l'angle économique
</t>
    </r>
    <r>
      <rPr>
        <sz val="11"/>
        <color indexed="10"/>
        <rFont val="Arial"/>
        <family val="2"/>
      </rPr>
      <t xml:space="preserve">
</t>
    </r>
    <r>
      <rPr>
        <sz val="11"/>
        <rFont val="Arial"/>
        <family val="2"/>
      </rPr>
      <t xml:space="preserve">
</t>
    </r>
  </si>
  <si>
    <t>Aucune unité-logement dans le bâtiment    
Nombre d'unités-logement dans le bâtiment</t>
  </si>
  <si>
    <t xml:space="preserve">Nombre total d'unités-logement 
dans le bâtiment </t>
  </si>
  <si>
    <t>Aucun enregistrement avec W_BARW = 2, 4  
Somme des enregistrements avec W_BARW = 2, 4</t>
  </si>
  <si>
    <t>Aucun enregistrement avec W_BARZ = 2, 4  
Somme des enregistrements avec W_BARZ = 2, 4</t>
  </si>
  <si>
    <t xml:space="preserve">Aucun enregistrement avec W_BARW = 2  
Somme des enregistrements avec W_BARW = 2 </t>
  </si>
  <si>
    <t>Nombre total de personnes dans le 
bâtiment</t>
  </si>
  <si>
    <t>Bâtiment non habité  
Nombre total de personnes (dom. écon. et civil) dans le bâtiment</t>
  </si>
  <si>
    <t>Bâtiment non habité sous l'angle économique  
Nombre de personnes (dom. écon.) dans le bâtiment</t>
  </si>
  <si>
    <t xml:space="preserve">Nombre de personnes dans le bâtiment selon le domicile 
économique </t>
  </si>
  <si>
    <t>Bâtiment non habité sous l'angle civil  
Nombre de personnes (dom. civil) dans le bâtiment</t>
  </si>
  <si>
    <t xml:space="preserve">Nombre de personnes dans le bâtiment selon le domicile civil </t>
  </si>
  <si>
    <t>Aucun enregistrement avec W_BARZ=1 
Personnes (dom. civil) dans les W_BARZ = 1 du bâtiment</t>
  </si>
  <si>
    <t xml:space="preserve">Aucun enregistrement avec W_BARW = 7
Personnes (dom. écon.) dans le W_BARW = 7 du bâtiment
</t>
  </si>
  <si>
    <t>Pas de ménage administratif d’un point de vue économique dans le bâtiment
Nombre de personnes dans le ménage administratif selon le dom. écon.</t>
  </si>
  <si>
    <t xml:space="preserve">Aucun enregistrement avec W_BARZ = 7
Personnes (dom. écon.) dans le W_BARZ = 7 du bâtiment
</t>
  </si>
  <si>
    <t>Pas de ménage administratif d’un point de vue civil dans le bâtiment
Nombre de personnes dans le ménage administratif selon le dom. civil</t>
  </si>
  <si>
    <t>Si HTYP=4, il s'agit de P_EPNRZ
Si HTYP=3, il s'agit de P_EPNRW</t>
  </si>
  <si>
    <r>
      <t xml:space="preserve">G_RENO =1 </t>
    </r>
    <r>
      <rPr>
        <b/>
        <sz val="11"/>
        <rFont val="Arial"/>
        <family val="2"/>
      </rPr>
      <t xml:space="preserve">ou </t>
    </r>
    <r>
      <rPr>
        <sz val="11"/>
        <rFont val="Arial"/>
        <family val="2"/>
      </rPr>
      <t xml:space="preserve">G_GART =4 
</t>
    </r>
  </si>
  <si>
    <r>
      <t xml:space="preserve">Sous la rubrique </t>
    </r>
    <r>
      <rPr>
        <b/>
        <sz val="11"/>
        <rFont val="Arial"/>
        <family val="2"/>
      </rPr>
      <t>Autre genre de propriétaire</t>
    </r>
    <r>
      <rPr>
        <sz val="11"/>
        <rFont val="Arial"/>
        <family val="2"/>
      </rPr>
      <t xml:space="preserve"> (13), on trouve notamment (lorsqu'il y a du texte) au niveau suisse:
32 % de "Korporation" (corporation)
12 % de mentions "autres" ou "divers"
10 % d'états étrangers ou d'organisations internationales
G_GART =4 
</t>
    </r>
    <r>
      <rPr>
        <b/>
        <sz val="10.5"/>
        <color indexed="10"/>
        <rFont val="Times New Roman"/>
        <family val="1"/>
      </rPr>
      <t/>
    </r>
  </si>
  <si>
    <r>
      <t xml:space="preserve">Sous la rubrique </t>
    </r>
    <r>
      <rPr>
        <b/>
        <sz val="11"/>
        <rFont val="Arial"/>
        <family val="2"/>
      </rPr>
      <t xml:space="preserve">Autres </t>
    </r>
    <r>
      <rPr>
        <sz val="11"/>
        <rFont val="Arial"/>
        <family val="2"/>
      </rPr>
      <t xml:space="preserve">(09), on trouve notamment (lorsqu'il y a du texte) au niveau suisse:
29 % de "Blockheizkraftwerk" (centrale à cycle combiné pour chauffage d'îlot)
27 % de  "Fremdheizung" (source étrangère)
24 % de mentions "übrige" (autres)
</t>
    </r>
    <r>
      <rPr>
        <b/>
        <sz val="11"/>
        <rFont val="Arial"/>
        <family val="2"/>
      </rPr>
      <t xml:space="preserve">
</t>
    </r>
    <r>
      <rPr>
        <sz val="11"/>
        <rFont val="Arial"/>
        <family val="2"/>
      </rPr>
      <t xml:space="preserve">G_HEIZ=6 </t>
    </r>
    <r>
      <rPr>
        <b/>
        <sz val="11"/>
        <rFont val="Arial"/>
        <family val="2"/>
      </rPr>
      <t xml:space="preserve">ou </t>
    </r>
    <r>
      <rPr>
        <sz val="11"/>
        <rFont val="Arial"/>
        <family val="2"/>
      </rPr>
      <t xml:space="preserve">G_GART =4 
</t>
    </r>
    <r>
      <rPr>
        <b/>
        <sz val="10.5"/>
        <color indexed="10"/>
        <rFont val="Times New Roman"/>
        <family val="1"/>
      </rPr>
      <t/>
    </r>
  </si>
  <si>
    <r>
      <t xml:space="preserve">G_HEIZ=6 </t>
    </r>
    <r>
      <rPr>
        <b/>
        <sz val="11"/>
        <rFont val="Arial"/>
        <family val="2"/>
      </rPr>
      <t xml:space="preserve">ou </t>
    </r>
    <r>
      <rPr>
        <sz val="11"/>
        <rFont val="Arial"/>
        <family val="2"/>
      </rPr>
      <t xml:space="preserve">G_GART =4 
</t>
    </r>
    <r>
      <rPr>
        <b/>
        <sz val="10.5"/>
        <color indexed="10"/>
        <rFont val="Times New Roman"/>
        <family val="1"/>
      </rPr>
      <t/>
    </r>
  </si>
  <si>
    <r>
      <t xml:space="preserve">Sous la rubrique </t>
    </r>
    <r>
      <rPr>
        <b/>
        <sz val="11"/>
        <rFont val="Arial"/>
        <family val="2"/>
      </rPr>
      <t xml:space="preserve">Autres </t>
    </r>
    <r>
      <rPr>
        <sz val="11"/>
        <rFont val="Arial"/>
        <family val="2"/>
      </rPr>
      <t xml:space="preserve">(09), on trouve notamment (lorsqu'il y a du texte) au niveau suisse:
34 % de mentions "übrige" (autres)
31 % de "Blockheizkraftwerk" (centrale à cycle combiné pour chauffage d'îlot)
9 % de  "Biogas" (biogaz)
</t>
    </r>
    <r>
      <rPr>
        <b/>
        <u/>
        <sz val="11"/>
        <rFont val="Arial"/>
        <family val="2"/>
      </rPr>
      <t xml:space="preserve">
</t>
    </r>
    <r>
      <rPr>
        <sz val="11"/>
        <rFont val="Arial"/>
        <family val="2"/>
      </rPr>
      <t xml:space="preserve">G_WWAS =2 </t>
    </r>
    <r>
      <rPr>
        <b/>
        <sz val="11"/>
        <rFont val="Arial"/>
        <family val="2"/>
      </rPr>
      <t xml:space="preserve">ou </t>
    </r>
    <r>
      <rPr>
        <sz val="11"/>
        <rFont val="Arial"/>
        <family val="2"/>
      </rPr>
      <t xml:space="preserve">G_GART =4
</t>
    </r>
    <r>
      <rPr>
        <b/>
        <sz val="10.5"/>
        <color indexed="10"/>
        <rFont val="Times New Roman"/>
        <family val="1"/>
      </rPr>
      <t/>
    </r>
  </si>
  <si>
    <r>
      <t xml:space="preserve">Sous la rubrique </t>
    </r>
    <r>
      <rPr>
        <b/>
        <sz val="11"/>
        <rFont val="Arial"/>
        <family val="2"/>
      </rPr>
      <t xml:space="preserve">Autres </t>
    </r>
    <r>
      <rPr>
        <sz val="11"/>
        <rFont val="Arial"/>
        <family val="2"/>
      </rPr>
      <t>(09), on trouve notamment (lorsqu'il y a du texte) au niveau suisse:
66 % de mentions "übrige" (autres)
32 % de "verschiedene Energieträger" (agents divers)
1 % de "Blockheizkraftwerk" (centrale à cycle combiné pour chauffage d'îlot)</t>
    </r>
    <r>
      <rPr>
        <u/>
        <sz val="11"/>
        <rFont val="Arial"/>
        <family val="2"/>
      </rPr>
      <t xml:space="preserve">
</t>
    </r>
    <r>
      <rPr>
        <b/>
        <u/>
        <sz val="11"/>
        <rFont val="Arial"/>
        <family val="2"/>
      </rPr>
      <t xml:space="preserve">
</t>
    </r>
    <r>
      <rPr>
        <sz val="11"/>
        <rFont val="Arial"/>
        <family val="2"/>
      </rPr>
      <t xml:space="preserve">G_WWAS =2 </t>
    </r>
    <r>
      <rPr>
        <b/>
        <sz val="11"/>
        <rFont val="Arial"/>
        <family val="2"/>
      </rPr>
      <t xml:space="preserve">ou </t>
    </r>
    <r>
      <rPr>
        <sz val="11"/>
        <rFont val="Arial"/>
        <family val="2"/>
      </rPr>
      <t xml:space="preserve">GART =4 
</t>
    </r>
    <r>
      <rPr>
        <b/>
        <sz val="10.5"/>
        <color indexed="10"/>
        <rFont val="Times New Roman"/>
        <family val="1"/>
      </rPr>
      <t/>
    </r>
  </si>
  <si>
    <r>
      <t xml:space="preserve">
G_GART=1,2,3 </t>
    </r>
    <r>
      <rPr>
        <b/>
        <sz val="11"/>
        <rFont val="Arial"/>
        <family val="2"/>
      </rPr>
      <t xml:space="preserve">et </t>
    </r>
    <r>
      <rPr>
        <sz val="11"/>
        <rFont val="Arial"/>
        <family val="2"/>
      </rPr>
      <t xml:space="preserve">G_APWG&gt;0 </t>
    </r>
    <r>
      <rPr>
        <b/>
        <sz val="11"/>
        <rFont val="Arial"/>
        <family val="2"/>
      </rPr>
      <t>avec au moins</t>
    </r>
    <r>
      <rPr>
        <sz val="11"/>
        <rFont val="Arial"/>
        <family val="2"/>
      </rPr>
      <t xml:space="preserve"> 1 W_BARW=1,2,3,4  
</t>
    </r>
    <r>
      <rPr>
        <b/>
        <sz val="11"/>
        <rFont val="Arial"/>
        <family val="2"/>
      </rPr>
      <t>ou</t>
    </r>
    <r>
      <rPr>
        <sz val="11"/>
        <rFont val="Arial"/>
        <family val="2"/>
      </rPr>
      <t xml:space="preserve">  G_GART=4 </t>
    </r>
    <r>
      <rPr>
        <b/>
        <sz val="11"/>
        <rFont val="Arial"/>
        <family val="2"/>
      </rPr>
      <t>avec au moins</t>
    </r>
    <r>
      <rPr>
        <sz val="11"/>
        <rFont val="Arial"/>
        <family val="2"/>
      </rPr>
      <t xml:space="preserve"> 1 W_BARW =1.
</t>
    </r>
    <r>
      <rPr>
        <b/>
        <sz val="11"/>
        <rFont val="Arial"/>
        <family val="2"/>
      </rPr>
      <t xml:space="preserve">
</t>
    </r>
    <r>
      <rPr>
        <sz val="11"/>
        <rFont val="Arial"/>
        <family val="2"/>
      </rPr>
      <t>G_GART=1,2,3,4</t>
    </r>
    <r>
      <rPr>
        <b/>
        <sz val="11"/>
        <rFont val="Arial"/>
        <family val="2"/>
      </rPr>
      <t xml:space="preserve"> et</t>
    </r>
    <r>
      <rPr>
        <sz val="11"/>
        <rFont val="Arial"/>
        <family val="2"/>
      </rPr>
      <t xml:space="preserve"> G_APWG=0 </t>
    </r>
    <r>
      <rPr>
        <b/>
        <sz val="11"/>
        <rFont val="Arial"/>
        <family val="2"/>
      </rPr>
      <t>avec au moins</t>
    </r>
    <r>
      <rPr>
        <sz val="11"/>
        <rFont val="Arial"/>
        <family val="2"/>
      </rPr>
      <t xml:space="preserve"> 1 W_BARW=2,3 
G_GART=1 </t>
    </r>
    <r>
      <rPr>
        <b/>
        <sz val="11"/>
        <rFont val="Arial"/>
        <family val="2"/>
      </rPr>
      <t>et</t>
    </r>
    <r>
      <rPr>
        <sz val="11"/>
        <rFont val="Arial"/>
        <family val="2"/>
      </rPr>
      <t xml:space="preserve"> W_BARW=6  
G_GART=1,2,3,4 </t>
    </r>
    <r>
      <rPr>
        <b/>
        <sz val="11"/>
        <rFont val="Arial"/>
        <family val="2"/>
      </rPr>
      <t>et</t>
    </r>
    <r>
      <rPr>
        <sz val="11"/>
        <rFont val="Arial"/>
        <family val="2"/>
      </rPr>
      <t xml:space="preserve"> G_APWG&gt;0, </t>
    </r>
    <r>
      <rPr>
        <b/>
        <sz val="11"/>
        <rFont val="Arial"/>
        <family val="2"/>
      </rPr>
      <t>avec au moins</t>
    </r>
    <r>
      <rPr>
        <sz val="11"/>
        <rFont val="Arial"/>
        <family val="2"/>
      </rPr>
      <t xml:space="preserve"> 1 W_BARW=5, </t>
    </r>
    <r>
      <rPr>
        <b/>
        <sz val="11"/>
        <rFont val="Arial"/>
        <family val="2"/>
      </rPr>
      <t>mais aucun</t>
    </r>
    <r>
      <rPr>
        <sz val="11"/>
        <rFont val="Arial"/>
        <family val="2"/>
      </rPr>
      <t xml:space="preserve"> W_BARW=1 
G_GART=1,2,3,4 et G_APWG&gt;0, avec uniquement 1 W_BARW=7
G_GART=1,2,3,4 et G_APWG=0, avec uniquement 1 W_BARW=8 
</t>
    </r>
    <r>
      <rPr>
        <sz val="10.5"/>
        <color indexed="10"/>
        <rFont val="Times New Roman"/>
        <family val="1"/>
      </rPr>
      <t/>
    </r>
  </si>
  <si>
    <r>
      <t xml:space="preserve">G_GART=1,2,3 </t>
    </r>
    <r>
      <rPr>
        <b/>
        <sz val="11"/>
        <rFont val="Arial"/>
        <family val="2"/>
      </rPr>
      <t>et</t>
    </r>
    <r>
      <rPr>
        <sz val="11"/>
        <rFont val="Arial"/>
        <family val="2"/>
      </rPr>
      <t xml:space="preserve"> G_APZR&gt;0 </t>
    </r>
    <r>
      <rPr>
        <b/>
        <sz val="11"/>
        <rFont val="Arial"/>
        <family val="2"/>
      </rPr>
      <t>avec au moins</t>
    </r>
    <r>
      <rPr>
        <sz val="11"/>
        <rFont val="Arial"/>
        <family val="2"/>
      </rPr>
      <t xml:space="preserve"> 1 W_BARZ=1,2,3,4 </t>
    </r>
    <r>
      <rPr>
        <b/>
        <sz val="11"/>
        <rFont val="Arial"/>
        <family val="2"/>
      </rPr>
      <t>ou</t>
    </r>
    <r>
      <rPr>
        <sz val="11"/>
        <rFont val="Arial"/>
        <family val="2"/>
      </rPr>
      <t xml:space="preserve">  G_GART=4 </t>
    </r>
    <r>
      <rPr>
        <b/>
        <sz val="11"/>
        <rFont val="Arial"/>
        <family val="2"/>
      </rPr>
      <t>avec au moins</t>
    </r>
    <r>
      <rPr>
        <sz val="11"/>
        <rFont val="Arial"/>
        <family val="2"/>
      </rPr>
      <t xml:space="preserve"> 1 W_BARZ = 1.
G_GART=1,2,3,4</t>
    </r>
    <r>
      <rPr>
        <b/>
        <sz val="11"/>
        <rFont val="Arial"/>
        <family val="2"/>
      </rPr>
      <t xml:space="preserve"> et</t>
    </r>
    <r>
      <rPr>
        <sz val="11"/>
        <rFont val="Arial"/>
        <family val="2"/>
      </rPr>
      <t xml:space="preserve"> G_APZR=0 </t>
    </r>
    <r>
      <rPr>
        <b/>
        <sz val="11"/>
        <rFont val="Arial"/>
        <family val="2"/>
      </rPr>
      <t>avec au moins</t>
    </r>
    <r>
      <rPr>
        <sz val="11"/>
        <rFont val="Arial"/>
        <family val="2"/>
      </rPr>
      <t xml:space="preserve"> 1 W_BARZ = 2,3
G_GART = 1 </t>
    </r>
    <r>
      <rPr>
        <b/>
        <sz val="11"/>
        <rFont val="Arial"/>
        <family val="2"/>
      </rPr>
      <t>et</t>
    </r>
    <r>
      <rPr>
        <sz val="11"/>
        <rFont val="Arial"/>
        <family val="2"/>
      </rPr>
      <t xml:space="preserve"> W_BARZ=6  
G_GART=1,2,3 </t>
    </r>
    <r>
      <rPr>
        <b/>
        <sz val="11"/>
        <rFont val="Arial"/>
        <family val="2"/>
      </rPr>
      <t>et</t>
    </r>
    <r>
      <rPr>
        <sz val="11"/>
        <rFont val="Arial"/>
        <family val="2"/>
      </rPr>
      <t xml:space="preserve"> G_APZR&gt;0, </t>
    </r>
    <r>
      <rPr>
        <b/>
        <sz val="11"/>
        <rFont val="Arial"/>
        <family val="2"/>
      </rPr>
      <t>avec au moins</t>
    </r>
    <r>
      <rPr>
        <sz val="11"/>
        <rFont val="Arial"/>
        <family val="2"/>
      </rPr>
      <t xml:space="preserve"> 1 W_BARZ=5, </t>
    </r>
    <r>
      <rPr>
        <b/>
        <sz val="11"/>
        <rFont val="Arial"/>
        <family val="2"/>
      </rPr>
      <t>mais aucun</t>
    </r>
    <r>
      <rPr>
        <sz val="11"/>
        <rFont val="Arial"/>
        <family val="2"/>
      </rPr>
      <t xml:space="preserve"> W_BARZ=1
G_GART=1,2,3,4 et G_APZR&gt;0, </t>
    </r>
    <r>
      <rPr>
        <b/>
        <sz val="11"/>
        <rFont val="Arial"/>
        <family val="2"/>
      </rPr>
      <t>avec uniquement 1</t>
    </r>
    <r>
      <rPr>
        <sz val="11"/>
        <rFont val="Arial"/>
        <family val="2"/>
      </rPr>
      <t xml:space="preserve"> W_BARZ=7
G_GART=1,2,3,4 et G_APZR=0, </t>
    </r>
    <r>
      <rPr>
        <b/>
        <sz val="11"/>
        <rFont val="Arial"/>
        <family val="2"/>
      </rPr>
      <t>avec un ou plus.</t>
    </r>
    <r>
      <rPr>
        <sz val="11"/>
        <rFont val="Arial"/>
        <family val="2"/>
      </rPr>
      <t xml:space="preserve"> W_BARZ=8
</t>
    </r>
    <r>
      <rPr>
        <sz val="10.5"/>
        <color indexed="10"/>
        <rFont val="Times New Roman"/>
        <family val="1"/>
      </rPr>
      <t/>
    </r>
  </si>
  <si>
    <r>
      <t>Somme des W_BARW = 1, 2, 3, 4, 5, 6, 7, 8.
Il s'agit ici du nombre d'</t>
    </r>
    <r>
      <rPr>
        <b/>
        <sz val="11"/>
        <rFont val="Arial"/>
        <family val="2"/>
      </rPr>
      <t>enregistrements-logement</t>
    </r>
    <r>
      <rPr>
        <sz val="11"/>
        <rFont val="Arial"/>
        <family val="2"/>
      </rPr>
      <t xml:space="preserve"> par bâtiment. Ne pas confondre avec le nombre d'unités-logement ou le nombre de logements par bâtiment.    
Un bâtiment à usage exclusivement collectif habité comporte un ou plusieurs enregistrements-logement mais ne comporte pas d'unité-logement.</t>
    </r>
  </si>
  <si>
    <r>
      <t>Aucun W_BARW=1,2,3,4 
Somme des W_BARW=1,2,3,4</t>
    </r>
    <r>
      <rPr>
        <sz val="11"/>
        <color indexed="14"/>
        <rFont val="Arial"/>
        <family val="2"/>
      </rPr>
      <t xml:space="preserve"> 
</t>
    </r>
    <r>
      <rPr>
        <sz val="11"/>
        <color indexed="10"/>
        <rFont val="Arial"/>
        <family val="2"/>
      </rPr>
      <t xml:space="preserve"> </t>
    </r>
    <r>
      <rPr>
        <sz val="11"/>
        <rFont val="Arial"/>
        <family val="2"/>
      </rPr>
      <t xml:space="preserve">    </t>
    </r>
  </si>
  <si>
    <r>
      <t xml:space="preserve">Aucun W_BARW=1,2,3 </t>
    </r>
    <r>
      <rPr>
        <b/>
        <sz val="11"/>
        <rFont val="Arial"/>
        <family val="2"/>
      </rPr>
      <t xml:space="preserve">et </t>
    </r>
    <r>
      <rPr>
        <sz val="11"/>
        <rFont val="Arial"/>
        <family val="2"/>
      </rPr>
      <t>W_KCHE=1,2</t>
    </r>
    <r>
      <rPr>
        <sz val="11"/>
        <color indexed="14"/>
        <rFont val="Arial"/>
        <family val="2"/>
      </rPr>
      <t xml:space="preserve"> 
</t>
    </r>
    <r>
      <rPr>
        <sz val="11"/>
        <rFont val="Arial"/>
        <family val="2"/>
      </rPr>
      <t xml:space="preserve">Somme des W_BARW=1,2,3 </t>
    </r>
    <r>
      <rPr>
        <b/>
        <sz val="11"/>
        <rFont val="Arial"/>
        <family val="2"/>
      </rPr>
      <t>et</t>
    </r>
    <r>
      <rPr>
        <sz val="11"/>
        <rFont val="Arial"/>
        <family val="2"/>
      </rPr>
      <t xml:space="preserve"> W_KCHE=1,2</t>
    </r>
    <r>
      <rPr>
        <sz val="11"/>
        <color indexed="14"/>
        <rFont val="Arial"/>
        <family val="2"/>
      </rPr>
      <t xml:space="preserve"> 
</t>
    </r>
  </si>
  <si>
    <r>
      <t>Aucun W_BARW=1</t>
    </r>
    <r>
      <rPr>
        <sz val="11"/>
        <color indexed="14"/>
        <rFont val="Arial"/>
        <family val="2"/>
      </rPr>
      <t xml:space="preserve"> </t>
    </r>
    <r>
      <rPr>
        <sz val="11"/>
        <rFont val="Arial"/>
        <family val="2"/>
      </rPr>
      <t xml:space="preserve">
Somme des W_BARW = 1</t>
    </r>
    <r>
      <rPr>
        <sz val="11"/>
        <color indexed="10"/>
        <rFont val="Arial"/>
        <family val="2"/>
      </rPr>
      <t xml:space="preserve"> </t>
    </r>
  </si>
  <si>
    <r>
      <t>Aucun W_BARZ=1</t>
    </r>
    <r>
      <rPr>
        <sz val="11"/>
        <color indexed="14"/>
        <rFont val="Arial"/>
        <family val="2"/>
      </rPr>
      <t xml:space="preserve">         </t>
    </r>
    <r>
      <rPr>
        <sz val="11"/>
        <rFont val="Arial"/>
        <family val="2"/>
      </rPr>
      <t xml:space="preserve">
Somme des W_BARZ= 1</t>
    </r>
    <r>
      <rPr>
        <sz val="11"/>
        <color indexed="14"/>
        <rFont val="Arial"/>
        <family val="2"/>
      </rPr>
      <t xml:space="preserve"> </t>
    </r>
  </si>
  <si>
    <r>
      <t xml:space="preserve">Aucun enregistrement avec W_BARW=1 </t>
    </r>
    <r>
      <rPr>
        <b/>
        <sz val="11"/>
        <rFont val="Arial"/>
        <family val="2"/>
      </rPr>
      <t>et</t>
    </r>
    <r>
      <rPr>
        <sz val="11"/>
        <rFont val="Arial"/>
        <family val="2"/>
      </rPr>
      <t xml:space="preserve"> W_KCHE=1,2</t>
    </r>
    <r>
      <rPr>
        <sz val="11"/>
        <color indexed="14"/>
        <rFont val="Arial"/>
        <family val="2"/>
      </rPr>
      <t xml:space="preserve"> </t>
    </r>
    <r>
      <rPr>
        <sz val="11"/>
        <rFont val="Arial"/>
        <family val="2"/>
      </rPr>
      <t xml:space="preserve">
Somme des enregistrements-logement avec W_BARW=1 </t>
    </r>
    <r>
      <rPr>
        <b/>
        <sz val="11"/>
        <rFont val="Arial"/>
        <family val="2"/>
      </rPr>
      <t>et</t>
    </r>
    <r>
      <rPr>
        <sz val="11"/>
        <rFont val="Arial"/>
        <family val="2"/>
      </rPr>
      <t xml:space="preserve"> W_KCHE=1,2</t>
    </r>
    <r>
      <rPr>
        <sz val="11"/>
        <color indexed="14"/>
        <rFont val="Arial"/>
        <family val="2"/>
      </rPr>
      <t xml:space="preserve"> </t>
    </r>
  </si>
  <si>
    <r>
      <t xml:space="preserve">Aucun enregistrement avec W_BARW =1 </t>
    </r>
    <r>
      <rPr>
        <b/>
        <sz val="11"/>
        <rFont val="Arial"/>
        <family val="2"/>
      </rPr>
      <t>et</t>
    </r>
    <r>
      <rPr>
        <sz val="11"/>
        <rFont val="Arial"/>
        <family val="2"/>
      </rPr>
      <t xml:space="preserve"> W_KCHE =1,2  
Personnes (dom. écon.) dans les W_BARW =1 </t>
    </r>
    <r>
      <rPr>
        <b/>
        <sz val="11"/>
        <rFont val="Arial"/>
        <family val="2"/>
      </rPr>
      <t>avec</t>
    </r>
    <r>
      <rPr>
        <sz val="11"/>
        <rFont val="Arial"/>
        <family val="2"/>
      </rPr>
      <t xml:space="preserve"> W_KCHE =1,2 du bâtiment</t>
    </r>
  </si>
  <si>
    <t>Sous la rubrique Autre genre de propriétaire 
(13), on trouve notamment (lorsqu'il y a du texte) au niveau suisse:
32 % de "Korporation" (corporation)
12 % de mentions "autres" ou "divers"
10 % d'états étrangers ou d'organisations internationales
H_GART =4 ou H_GART=5</t>
  </si>
  <si>
    <t>Un ou plusieurs particulier(s) (y compris indivision successorale) 
Une sté coopérative de construction et d’habitation, dont les membres habitent la majorité des logements du bâtiment 
Une autre sté coopérative de construction et d’habitation 
Un fonds de placement immobilier 
Une autre société immobilière 
Une sté du secteur de la construction 
Une assurance 
Une institution de prévoyance professionnelle 
Une autre fondation 
Une association 
Une autre société 
Une commune (y compris communauté scolaire, paroisse, 
bourgeoisie), un canton, la Confédération 
Un autre genre de propriétaire 
Habitation de fortune ou Bâtiment fictif</t>
  </si>
  <si>
    <t>Sous la rubrique Autres (09), on trouve notamment (lorsqu'il y a du texte) au niveau suisse:
29 % de "Blockheizkraftwerk" (centrale à cycle combiné pour chauffage d'îlot)
27 % de  "Fremdheizung" (source étrangère)
24 % de mentions "übrige" (autres)
H_HEIZ=6 ou H_GART =4 ou H_GART=5</t>
  </si>
  <si>
    <t>Sous la rubrique Autres
(09), on trouve notamment (lorsqu'il y a du texte) au niveau suisse:
34 % de mentions "übrige" (autres)
31 % de "Blockheizkraftwerk" (centrale à cycle combiné pour chauffage d'îlot)
9 % de  "Biogas" (biogaz)
H_WWAS =2 ou H_GART =4 ou H_GART=5</t>
  </si>
  <si>
    <t>Sous la rubrique Autres
(09), on trouve notamment (lorsqu'il y a du texte) au niveau suisse:
66 % de mentions "übrige" (autres)
32 % de "verschiedene Energieträger" (agents divers)
1 % de "Blockheizkraftwerk" (centrale à cycle combiné pour chauffage d'îlot)
H_WWAS =2 ou H_GART =4 ou H_GART=5</t>
  </si>
  <si>
    <t>Catégorie de bâtiment sous l'angle 
du domicile économique</t>
  </si>
  <si>
    <r>
      <t xml:space="preserve">Bâtiment habité comprenant au minimum une unité-logement </t>
    </r>
    <r>
      <rPr>
        <b/>
        <sz val="11"/>
        <rFont val="Arial"/>
        <family val="2"/>
      </rPr>
      <t xml:space="preserve">ou </t>
    </r>
    <r>
      <rPr>
        <sz val="11"/>
        <rFont val="Arial"/>
        <family val="2"/>
      </rPr>
      <t xml:space="preserve">Habitation de fortune habitée par au moins 1 ménage privé 
Bâtiment non habité comprenant au moins un logement </t>
    </r>
    <r>
      <rPr>
        <b/>
        <sz val="11"/>
        <rFont val="Arial"/>
        <family val="2"/>
      </rPr>
      <t xml:space="preserve">ou </t>
    </r>
    <r>
      <rPr>
        <sz val="11"/>
        <rFont val="Arial"/>
        <family val="2"/>
      </rPr>
      <t xml:space="preserve">habitation de fortune habitée uniquement sous l'angle civil par un ménage privé  
Bâtiment non habité, à usage exclusivement collectif   
Bâtiment habité ou habitation de fortune, à usage 
exclusivement collectif (pas de ménage privé, pas d’unité-logement)  
Bâtiment habité ou habitation de fortune comprenant uniquement un ménage administratif
Bâtiment ou habitation de fortune avec uniquement un ménage collectif ou un ménage administratif n'existant que sous l'angle civil
Bâtiment habité uniquement sous l'angle civil, ne 
comprend aucune unité-logement avec cuisine/cuisinette 
Bâtiment fictif </t>
    </r>
  </si>
  <si>
    <t>H_GART=1,2,3 et H_APWG&gt;0 avec au moins 1
H_BARW=1,2,3,4 ou  H_GART=4 avec au moins 1 
H_BARW =1.
H_GART=1,2,3,4 et H_APWG=0 avec au moins 1
H_BARW=2,3
H_GART=1 et H_BARW=6
H_GART=1,2,3,4 et H_APWG&gt;0, avec au moins 1
H_BARW=5, mais aucun H_BARW=1
H_GART=1,2,3,4 et H_APWG&gt;0, avec uniquement 1 
H_BARW=7
H_GART=1,2,3,4 et H_APWG=0, avec uniquement 1
H_BARW=8
H_GART=1,2,3 et H_APWG=0 et H_APZR &gt;0 et uniquem. des H_BARW = 4 (Bâtiment à ignorer sous l'angle écon.)  
H_GART=5</t>
  </si>
  <si>
    <t xml:space="preserve">H_GART=1,2,3 et H_APZR&gt;0 avec au moins 1
H_BARZ=1,2,3,4 ou  H_GART=4 avec au moins 1
H_BARZ = 1.
H_GART=1,2,3,4 et H_APZR=0 avec au moins 1 
H_BARZ = 2,3 
H_GART = 1 et H_BARZ=6  
H_GART=1,2,3,4 et H_APZR&gt;0, avec au moins 1 H_BARZ=5, mais aucun H_BARZ=1
H_GART=1,2,3,4 et H_APZR&gt;0, avec uniquement 1 
H_BARZ=7
H_GART=1,2,3,4 et H_APZR=0, avec un ou plus.
H_BARZ=8 
H_GART=1,2,3 et H_APWG&gt;0 et H_APZR=0 et uniquem. des H_BARZ = 4 (Bâtiment à ignorer sous 
l'angle civil.) 
H_GART=5    </t>
  </si>
  <si>
    <r>
      <t xml:space="preserve">Bâtiment habité comprenant au minimum une unité-logement ou Habitation de fortune habitée par au moins 1 ménage privé 
Bâtiment non habité comprenant au moins un logement </t>
    </r>
    <r>
      <rPr>
        <b/>
        <sz val="11"/>
        <rFont val="Arial"/>
        <family val="2"/>
      </rPr>
      <t xml:space="preserve">ou </t>
    </r>
    <r>
      <rPr>
        <sz val="11"/>
        <rFont val="Arial"/>
        <family val="2"/>
      </rPr>
      <t xml:space="preserve">habitation de fortune habitée uniquement sous l'angle économique par un ménage privé 
Bâtiment non habité, à usage exclusivement collectif   
Bâtiment habité ou habitation de fortune, à usage exclusivement collectif (pas de ménage privé, pas d’unité-logement)  
Bâtiment habité ou habitation de fortune comprenant uniquement un ménage administratif
Bâtiment ou habitation de fortune avec un ou plusieurs ménages collectifs ou uniquement un ménage administratif n'existant que sous l'angle économique
Bâtiment habité uniquement sous l'angle économique, ne comprend aucune unité-logement avec cuisine/cuisinette 
Bâtiment fictif 
</t>
    </r>
  </si>
  <si>
    <t>Aucun enregistrement avec H_BARZ=1 
Personnes (dom. civil) dans les H_BARZ = 1 du bâtiment</t>
  </si>
  <si>
    <t xml:space="preserve">Pour sélectionner des unités-logement, prendre H_BARZ = 1, 2, 3, 4.
Les enregistrements-logement qui portent des H_BARZ = 91,92,93 ne se trouvent pas dans des bâtiments réels.
H_BARZ = 8 correspond à H_BARW = 5, 7 
 </t>
  </si>
  <si>
    <t xml:space="preserve">Il ne s’agit pas d’une unité-logement occupée ou   
il s’agit d’une habitation de fortune  
Nombre total de personnes dans l'unité-logement </t>
  </si>
  <si>
    <t>H_BARW # 1 ou H_GART = 4
Somme des WSKAT=1,3 dans ce H_BARW = 1</t>
  </si>
  <si>
    <t>H_BARW # 1 et H_BARZ # 1 ou H_GART = 4
Somme des WSKAT=1,3,4 dans ce H_BARW = 1 ou H_BARZ = 1</t>
  </si>
  <si>
    <t xml:space="preserve">Nombre de personnes dans l'unité-logement selon le domicile 
économique </t>
  </si>
  <si>
    <t>H_BARZ # 1 ou H_GART = 4
Somme des WSKAT=1,4 dans ce H_BARZ = 1</t>
  </si>
  <si>
    <t>Il ne s’agit pas d’une unité-logement occupée sous l’angle civil ou il s’agit d’une habitation de fortune
Nombre personnes dans l'unité-logement sous l'angle civil</t>
  </si>
  <si>
    <t xml:space="preserve">Nombre de personnes dans l'unité-logement selon le domicile civil </t>
  </si>
  <si>
    <t xml:space="preserve">Il ne s’agit pas d'une unité-logement occupée ou il s’agit d’une habitation de fortune 
Habitants (x 100) par pièce d'habitation (total des habitants)
La valeur obtenue est un nombre entier. 
ATTENTION: Pour obtenir le nombre d'habitants par pièce d'habitation, diviser par 100 la valeur de ce champ.
</t>
  </si>
  <si>
    <t xml:space="preserve">H_BARW # 1 et H_BARZ # 1 ou H_FLAE = 0 ou   
H_GART = 4  
Calcul: H_FLAE / H_APTO pour chaque (H_APTO &gt; 0 et H_FLAE &gt;  0)
Le résultat du calcul est arrondi au m2. </t>
  </si>
  <si>
    <t xml:space="preserve">Il ne s’agit pas d'une unité-logement occupée ou   
l’indication de la surface manque ou il s’agit d’une habitation de fortune  
Surface en m2 par habitant (total des habitants)
</t>
  </si>
  <si>
    <r>
      <t xml:space="preserve">Lorsque G_GART = 4, seuls les champs 
W_BARW/BARZ , W_APTO, W_APWS, W_APZR et W_WTYP  comprennent des valeurs &gt; 0.    
</t>
    </r>
    <r>
      <rPr>
        <sz val="11"/>
        <color indexed="10"/>
        <rFont val="Arial"/>
        <family val="2"/>
      </rPr>
      <t xml:space="preserve"> </t>
    </r>
    <r>
      <rPr>
        <sz val="11"/>
        <rFont val="Arial"/>
        <family val="2"/>
      </rPr>
      <t xml:space="preserve">
</t>
    </r>
  </si>
  <si>
    <r>
      <t xml:space="preserve">Aucun enregistrement avec W_BARZ=1 </t>
    </r>
    <r>
      <rPr>
        <b/>
        <sz val="11"/>
        <rFont val="Arial"/>
        <family val="2"/>
      </rPr>
      <t>et</t>
    </r>
    <r>
      <rPr>
        <sz val="11"/>
        <rFont val="Arial"/>
        <family val="2"/>
      </rPr>
      <t xml:space="preserve"> W_KCHE =1,2</t>
    </r>
    <r>
      <rPr>
        <sz val="11"/>
        <color indexed="14"/>
        <rFont val="Arial"/>
        <family val="2"/>
      </rPr>
      <t xml:space="preserve"> </t>
    </r>
    <r>
      <rPr>
        <sz val="11"/>
        <rFont val="Arial"/>
        <family val="2"/>
      </rPr>
      <t xml:space="preserve">
Somme des enregistrements-logement avec W_BARZ = 1 </t>
    </r>
    <r>
      <rPr>
        <b/>
        <sz val="11"/>
        <rFont val="Arial"/>
        <family val="2"/>
      </rPr>
      <t>et</t>
    </r>
    <r>
      <rPr>
        <sz val="11"/>
        <rFont val="Arial"/>
        <family val="2"/>
      </rPr>
      <t xml:space="preserve"> W_KCHE = 1, 2</t>
    </r>
    <r>
      <rPr>
        <sz val="11"/>
        <color indexed="14"/>
        <rFont val="Arial"/>
        <family val="2"/>
      </rPr>
      <t xml:space="preserve"> </t>
    </r>
  </si>
  <si>
    <t>Aucun enregistrement avec W_BARZ = 2  
Somme des enregistrements avec W_BARZ = 2</t>
  </si>
  <si>
    <t>Aucun enregistrement avec W_BARW = 3  
Somme des enregistrements avec W_BARW = 3</t>
  </si>
  <si>
    <t xml:space="preserve">Nombre de logements (dans le bâtiment) habités temporairement selon le domicile économique 
</t>
  </si>
  <si>
    <t xml:space="preserve">Nombre d’unités- logement (dans le bâtiment) habitées temporairement selon le domicile civil </t>
  </si>
  <si>
    <t xml:space="preserve">Nombre d’unités- logement (dans le bâtiment) habitées temporairement selon le domicile économique 
</t>
  </si>
  <si>
    <t xml:space="preserve">Nombre de logements (dans le bâtiment) occupés selon le domicile civil </t>
  </si>
  <si>
    <t xml:space="preserve">Nombre de logements  (dans le bâtiment) occupés selon le domicile 
économique </t>
  </si>
  <si>
    <t>Aucun enregistrement avec W_BARW=1 
Personnes (dom. écon.) dans les W_BARW = 1 du bâtiment</t>
  </si>
  <si>
    <r>
      <t xml:space="preserve">Aucun enregistrement avec W_BARZ = 1 </t>
    </r>
    <r>
      <rPr>
        <b/>
        <sz val="11"/>
        <rFont val="Arial"/>
        <family val="2"/>
      </rPr>
      <t xml:space="preserve">et </t>
    </r>
    <r>
      <rPr>
        <sz val="11"/>
        <rFont val="Arial"/>
        <family val="2"/>
      </rPr>
      <t xml:space="preserve">W_KCHE = 1,2  
Personnes (dom. civil) dans les W_BARZ = 1 </t>
    </r>
    <r>
      <rPr>
        <b/>
        <sz val="11"/>
        <rFont val="Arial"/>
        <family val="2"/>
      </rPr>
      <t>avec</t>
    </r>
    <r>
      <rPr>
        <sz val="11"/>
        <rFont val="Arial"/>
        <family val="2"/>
      </rPr>
      <t xml:space="preserve"> W_KCHE = 1, 2 du bâtiment</t>
    </r>
  </si>
  <si>
    <t xml:space="preserve">Aucun enregistrement avec W_BARW = 5  
Personnes (dom. écon.) dans les W_BARW = 5 du bâtiment
</t>
  </si>
  <si>
    <t xml:space="preserve">Aucun enregistrement avec W_BARZ = 5  
Personnes (dom. écon.) dans les W_BARZ = 5 du bâtiment
</t>
  </si>
  <si>
    <t>Nombre de personnes du bâtiment dans des ménages collectifs (selon le domicile économique)</t>
  </si>
  <si>
    <t>Nombre de personnes du bâtiment dans des logements (selon le domicile civil)</t>
  </si>
  <si>
    <t>Nombre de personnes du bâtiment dans des ménages collectifs (selon le domicile civil)</t>
  </si>
  <si>
    <t>Nombre de personnes du bâtiment dans le ménage administratif (selon le domicile économique)</t>
  </si>
  <si>
    <t>Nombre de personnes du bâtiment dans le ménage administratif (selon le domicile civil)</t>
  </si>
  <si>
    <t>Sans indication
Autres régions</t>
  </si>
  <si>
    <t>Pour les personnes, on distingue les catégories de domicile (WKAT) suivantes:
WKAT = 1: La personne est domiciliée éconoquement et légalement dans la commune
WKAT = 2: La personne est domiciliée légalement dans la commune
WKAT = 3: La personne est domicilée économiquement dans la commune</t>
  </si>
  <si>
    <t>Rénovation ou transformation 
du bâtiment depuis 1961</t>
  </si>
  <si>
    <t>Poêle
Central pour un logement
Central pour un bâtiment
Chauffage à distance (eau surchauffée ou vapeur)
Central pour plusieurs bâtiments
Pas de chauffage
Habitation de fortune (G-GART=4) 
Enregistrement-bâtiment fictif (G-GART=5)</t>
  </si>
  <si>
    <t>Nombre de personnes dans le 
bâtiment selon le domicile légal</t>
  </si>
  <si>
    <t>Bâtiments et Logements</t>
  </si>
  <si>
    <t>Genre d'enregistrement</t>
  </si>
  <si>
    <t>Nombre d'enfants célibataires de moins de 18 ans</t>
  </si>
  <si>
    <t>Nombre d'enfants célibataires âgés de 18 à 24 ans</t>
  </si>
  <si>
    <t>Nombre d'enfants célibataires âgés de 25 à 29 ans</t>
  </si>
  <si>
    <t>Nombre d'enfants de moins d'un an</t>
  </si>
  <si>
    <t>Nombre d'enfants âgés d'un an</t>
  </si>
  <si>
    <t>Nombre d'enfants âgés de 2 ans</t>
  </si>
  <si>
    <t xml:space="preserve">Nombre d'enfants célibataires </t>
  </si>
  <si>
    <t>Nombre d'enfants âgés de 3 ans</t>
  </si>
  <si>
    <t>Nombre d'enfants âgés de 4 ans</t>
  </si>
  <si>
    <t>Nombre d'enfants âgés de 5 ans</t>
  </si>
  <si>
    <t>Nombre d'enfants âgés de 6 ans</t>
  </si>
  <si>
    <t>Nombre d'enfants âgés de 7 ans</t>
  </si>
  <si>
    <t>Nombre d'enfants âgés de 8 ans</t>
  </si>
  <si>
    <t>Nombre d'enfants âgés de 9 ans</t>
  </si>
  <si>
    <t>Nombre d'enfants âgés de 10 ans</t>
  </si>
  <si>
    <t>Nombre d'enfants âgés de 11 ans</t>
  </si>
  <si>
    <t>Nombre d'enfants âgés de 12 ans</t>
  </si>
  <si>
    <t>Nombre d'enfants âgés de 13 ans</t>
  </si>
  <si>
    <t>Nombre d'enfants âgés de 14 ans</t>
  </si>
  <si>
    <t>Nombre de fils de 0 à 6 ans</t>
  </si>
  <si>
    <t>Nombre de filles de 0 à 6 ans</t>
  </si>
  <si>
    <t>Nombre de fils de 7 à 15 ans</t>
  </si>
  <si>
    <t>Nombre de filles de 7 à 15 ans</t>
  </si>
  <si>
    <t>Nombre de fils célibataires de 16 ans et plus</t>
  </si>
  <si>
    <t>Nombre de filles célibataires de 16 ans et plus</t>
  </si>
  <si>
    <t>Nombre d'autres chefs de ménage</t>
  </si>
  <si>
    <t>Nombre de (beaux-)parents</t>
  </si>
  <si>
    <t>Nombre de frères et soeurs</t>
  </si>
  <si>
    <t>Nombre d'autres membres de la parenté</t>
  </si>
  <si>
    <t>Nombre d'autres personnes</t>
  </si>
  <si>
    <t>Nombre de personnes actives non occupées</t>
  </si>
  <si>
    <t xml:space="preserve">Nombre de personnes de 15 ans et plus en formation </t>
  </si>
  <si>
    <t>Nombre de personnes de moins de 15 ans</t>
  </si>
  <si>
    <t>Classes d'âges quinquennales</t>
  </si>
  <si>
    <t>Année du dernier événement d'état civil</t>
  </si>
  <si>
    <t>Numéro de couple (marié)</t>
  </si>
  <si>
    <t>Branche d'activité économique de l'entreprise</t>
  </si>
  <si>
    <t>Nombre d'heures à plein temps</t>
  </si>
  <si>
    <t>Nombre d'heures à temps partiel</t>
  </si>
  <si>
    <t>Nombre d'heures en formation</t>
  </si>
  <si>
    <t>Nombre d'heures: travail familial et domestique</t>
  </si>
  <si>
    <t>Nombre d'heures: activités bénévoles</t>
  </si>
  <si>
    <t>Ménage collectif, ménage privé sans partenaire de la personne de référence</t>
  </si>
  <si>
    <t>8201 … 8619, voir liste 4
Ménage collectif, ménage privé sans partenaire de la personne de référence
Suisses uniquement ou sans indication
Etrangers</t>
  </si>
  <si>
    <t>Autorisation d'établissement (permis C) 
Autorisation de séjour annuel (permis B) 
Autorisation saisonnière (permis A) 
Requérants d'asile (permis N) 
Etrangers admis provisoirement (permis F) 
Autorisation de séjour de courte durée  (permis L) 
Autorisation du DFAE 
Autre statut
Ménage collectif, ménage privé sans partenaire de la personne de référence 
Suisses</t>
  </si>
  <si>
    <t>1 … 20
Ménage collectif, ménage privé sans partenaire de la personne de référence
Sans indication
Pas d'enfant</t>
  </si>
  <si>
    <r>
      <t>Niveau secondaire I</t>
    </r>
    <r>
      <rPr>
        <sz val="11"/>
        <rFont val="Arial"/>
        <family val="2"/>
      </rPr>
      <t xml:space="preserve">
Scolarité obligatoire
Ecole de culture générale ou préparant à une formation professionnelle
</t>
    </r>
    <r>
      <rPr>
        <i/>
        <sz val="11"/>
        <rFont val="Arial"/>
        <family val="2"/>
      </rPr>
      <t>Niveau secondaire II</t>
    </r>
    <r>
      <rPr>
        <sz val="11"/>
        <rFont val="Arial"/>
        <family val="2"/>
      </rPr>
      <t xml:space="preserve">
Apprentissage, école professionnelle à plein temps
Ecole préparant à la maturité
Ecole normale
</t>
    </r>
    <r>
      <rPr>
        <i/>
        <sz val="11"/>
        <rFont val="Arial"/>
        <family val="2"/>
      </rPr>
      <t>Niveau tertiaire</t>
    </r>
    <r>
      <rPr>
        <sz val="11"/>
        <rFont val="Arial"/>
        <family val="2"/>
      </rPr>
      <t xml:space="preserve">
Formation professionnelle supérieure
Ecole professionnelle supérieure
Haute école spécialisée
Université, haute école
Ménage collectif, ménage privé sans partenaire de la personne de référence
Sans indication
Aucune formation en cours</t>
    </r>
  </si>
  <si>
    <r>
      <t xml:space="preserve">Aucune formation achevée
</t>
    </r>
    <r>
      <rPr>
        <i/>
        <sz val="11"/>
        <rFont val="Arial"/>
        <family val="2"/>
      </rPr>
      <t>Niveau secondaire I</t>
    </r>
    <r>
      <rPr>
        <sz val="11"/>
        <rFont val="Arial"/>
        <family val="2"/>
      </rPr>
      <t xml:space="preserve">
Scolarité obligatoire
Ecole de culture générale ou préparant à une formation professionnelle
</t>
    </r>
    <r>
      <rPr>
        <i/>
        <sz val="11"/>
        <rFont val="Arial"/>
        <family val="2"/>
      </rPr>
      <t>Niveau secondaire II</t>
    </r>
    <r>
      <rPr>
        <sz val="11"/>
        <rFont val="Arial"/>
        <family val="2"/>
      </rPr>
      <t xml:space="preserve">
Apprentissage, école professionnelle à plein temps
Ecole préparant à la maturité
Ecole normale
</t>
    </r>
    <r>
      <rPr>
        <i/>
        <sz val="11"/>
        <rFont val="Arial"/>
        <family val="2"/>
      </rPr>
      <t>Niveau tertiaire</t>
    </r>
    <r>
      <rPr>
        <sz val="11"/>
        <rFont val="Arial"/>
        <family val="2"/>
      </rPr>
      <t xml:space="preserve">
Formation professionnelle supérieure
Ecole professionnelle supérieure
Haute école spécialisée
Université, haute école
Ménage collectif, ménage privé sans partenaire de la personne de référence
Sans indication</t>
    </r>
  </si>
  <si>
    <t xml:space="preserve">1-5 heures par semaine
6-19 heures par semaine
20-27 heures par semaine
28-35 heures par semaine
36-39 heures par semaine
40-45 heures par semaine
46 heures et plus par semaine
Ménage collectif, ménage privé sans partenaire de la personne de référence
Actifs occupés sans indication des heures
Personnes non actives ou sans emploi </t>
  </si>
  <si>
    <t>01100 … 9900C, voir liste 16
Ménage collectif, ménage privé sans partenaire de la personne de référence
Sans indication
Personnes non actives, sans emploi</t>
  </si>
  <si>
    <t>1 … 56, voir liste 17
Ménage collectif, ménage privé sans partenaire de la personne de référence
Sans indication
Personnes non actives, sans emploi</t>
  </si>
  <si>
    <t>01100...9900C, voir liste 16
Ménage collectif, ménage privé sans partenaire de la personne de référence
Sans indication
Pas en formation</t>
  </si>
  <si>
    <t>1 … 56, voir liste 17
Ménage collectif, ménage privé sans partenaire de la personne de référence
Sans indication
Pas en formation</t>
  </si>
  <si>
    <t>1.0 … 98.0
Ménage collectif, ménage privé sans partenaire de la personne de référence
Sans indication
Aucune activité de ce type</t>
  </si>
  <si>
    <t>1 … 98
Ménage collectif, ménage privé sans partenaire de la personne de référence
Sans indication
Aucune activité de ce type</t>
  </si>
  <si>
    <t xml:space="preserve">1.0 … 120.0
Ménage collectif, ménage privé sans partenaire de la personne de référence
Sans indication
Personnes non actives, sans emploi </t>
  </si>
  <si>
    <t>Oui
Non
Ménage collectif, ménage privé sans partenaire de la personne de référence
Sans indication</t>
  </si>
  <si>
    <t>Nombre d'heures:
travail familial et domestique</t>
  </si>
  <si>
    <t>Autre bâtiment: affecté principalement à d'autres usages que l'habitation (y compris les hôtels, homes, hôpitaux, etc.) 
Bâtiment exclusivement à usage d'habitation 
Autre bâtiment d'habitation, principalement à usage 
d'habitation (y compris les maisons paysannes liées à une exploitation agricole) 
Habitation de fortune mobile (par ex. une roulotte) ou 
provisoire (par ex: une baraque)
Bâtiment fictif</t>
  </si>
  <si>
    <t>Construit avant 1919 
Construit entre 1919 et 1945 
Construit entre 1946 et 1960 
Construit entre 1961 et 1970 
Construit entre 1971 et 1980 
Construit entre 1981 et 1990 
Construit entre 1991 et 1995 
Construit entre 1996 et 2000 
Habitation de fortune ou Bâtiment fictif</t>
  </si>
  <si>
    <t>Rénovés entre 1971 et 1980 
Rénovés entre 1981 et 1990 
Rénovés entre 1991 et 1995 
Rénovés entre 1996 et 2000 
Pas de rénovation ou Habitation de fortune ou bâtiment fictif</t>
  </si>
  <si>
    <t>Epoque de rénovation (dernière rénovation)</t>
  </si>
  <si>
    <t xml:space="preserve">Aucun H_BARW=1,2,3,4 
Somme H_BARW=1,2,3,4 
     </t>
  </si>
  <si>
    <t xml:space="preserve">Aucun enregistrement avec H_BARZ = 1 et 
H_KCHE = 1, 2   
Somme des enregistrements-logement avec H_BARZ  = 1 et H_KCHE = 1, 2 </t>
  </si>
  <si>
    <t xml:space="preserve">Nombre de personnes dans le bâtiment 
selon le domicile économique </t>
  </si>
  <si>
    <t xml:space="preserve">Nombre de personnes dans le bâtiment 
selon le domicile civil </t>
  </si>
  <si>
    <t>1 à 98 pièces 
Il ne s'agit pas d'une unité-logement ou il s’agit d’une habitation de fortune ou bâtiment fictif</t>
  </si>
  <si>
    <t>Indication manquante 
1 à 998 m2 
Il ne s'agit pas d'une unité-logement ou il s’agit d’une habitation de fortune ou bâtiment fictif</t>
  </si>
  <si>
    <t>Cuisine 
Cuisinette 
Ni cuisine, ni cuisinette 
Il ne s'agit pas d'une unité-logement ou il s’agit d’une habitation de fortune ou bâtiment fictif</t>
  </si>
  <si>
    <t>Indication manquante 
1er  au  80e étage 
1er  au  9e sous-sol 
Maison individuelle
Rez-de-chaussée 
Entresol 
Il ne s'agit pas d'une unité-logement 
ou il s’agit d’une habitation de fortune 
ou bâtiment fictif</t>
  </si>
  <si>
    <t>Statut d’occupation du logement</t>
  </si>
  <si>
    <t>Locataire 
Coopérateur/trice 
Propriétaire du logement / Propriétaire par étage 
Propriétaire unique de la maison où se trouve le logement 
Copropriétaire de la maison où se trouve le logement 
Détenteur d’un logement de service 
Détenteur d’un logement gratuit 
Détenteur d’un bail à ferme 
L'unité-logement n’est pas occupée ou il ne s'agit pas d'une unité-logement ou il s’agit d’une habitation de fortune ou bâtiment fictif</t>
  </si>
  <si>
    <t>Mode d'utilisation du logement  sous 
l'angle du domicile économique</t>
  </si>
  <si>
    <t xml:space="preserve">Occupé en permanence 
Habité temporairement (HT) 
Non occupé (NO) 
Unité-logement occupée uniquement sous l'angle civil , sans cuisine, ni cuisinette 
Locaux pour ménage collectif (MC) 
Locaux pour MC non occupés 
Enr. fictif pour ménage administratif 
Enregistrement-logement pour ménage collectif ou ménage administratif n'existant que sous l'angle civil
Enregistrement-logement pour ménage privé dans le bâtiment fictif
Enregistrement-logement pour ménage collectif dans le bâtiment fictif
Enregistrement-logement pour ménage administratif (=SHH) dans le bâtiment fictif.
</t>
  </si>
  <si>
    <t>Il ne s’agit pas d’une unité-logement occupée sous l’angle économique ou il s’agit d’une habitation de fortune 
Nombre personnes dans l'unité-logement sous l'angle économique</t>
  </si>
  <si>
    <t>Habitants par pièce d'habitation (selon le nombre d'habitants avec domicile économique dans
l'unité-logement)</t>
  </si>
  <si>
    <t>Naissances: enfant né vivant</t>
  </si>
  <si>
    <t>Naissances vivantes</t>
  </si>
  <si>
    <t>Mariage</t>
  </si>
  <si>
    <t>Divorces</t>
  </si>
  <si>
    <t>Décès</t>
  </si>
  <si>
    <t>Mortinaissances</t>
  </si>
  <si>
    <t xml:space="preserve">Mère: Nationalité </t>
  </si>
  <si>
    <t>Mère: État civil</t>
  </si>
  <si>
    <t>Mère: Commune / Pays de domicile</t>
  </si>
  <si>
    <t>Mère: Canton de domicile</t>
  </si>
  <si>
    <t>Mère: Code de profession</t>
  </si>
  <si>
    <t>Père/Soutien de famille: Situation dans la profession</t>
  </si>
  <si>
    <t>Père/Soutien de famille: Code de la profession</t>
  </si>
  <si>
    <t>Père: Nationalité</t>
  </si>
  <si>
    <t xml:space="preserve">Flag Mère: État civil </t>
  </si>
  <si>
    <t>Mère: Résidante permanente ou non</t>
  </si>
  <si>
    <t>Mari: Année de naissance</t>
  </si>
  <si>
    <t>Mari: Année du divorce / Décès</t>
  </si>
  <si>
    <t>Mari: Date du divorce / Décès</t>
  </si>
  <si>
    <t>Femme: Année de naissance</t>
  </si>
  <si>
    <t>Femme: Année du divorce / Décès</t>
  </si>
  <si>
    <t>Femme: Date du divorce / Décès</t>
  </si>
  <si>
    <t>Mari: Choix du nom lors du mariage</t>
  </si>
  <si>
    <t>Femme: Choix du nom lors du mariage</t>
  </si>
  <si>
    <t>Mari: Nationalité</t>
  </si>
  <si>
    <t>Mari: État civil</t>
  </si>
  <si>
    <t>Mari: Religion</t>
  </si>
  <si>
    <t>Mari: Lieu de naissance</t>
  </si>
  <si>
    <t>Mari: Commune de domicile / pays</t>
  </si>
  <si>
    <t>Mari: Canton de domicile</t>
  </si>
  <si>
    <t>Mari: Situation dans la profession</t>
  </si>
  <si>
    <t>Mari: Profession</t>
  </si>
  <si>
    <t>Femme: Nationalité</t>
  </si>
  <si>
    <t>Femme: État civil</t>
  </si>
  <si>
    <t>Femme: Religion</t>
  </si>
  <si>
    <t>Femme: Lieu de naissance</t>
  </si>
  <si>
    <t>Femme: Commune de domicile / Pays</t>
  </si>
  <si>
    <t>Femme: Canton de domicile</t>
  </si>
  <si>
    <t>Flag Mari : Date de naissance</t>
  </si>
  <si>
    <t>Flag Mari : Date du divorce/ Décès du conjoint</t>
  </si>
  <si>
    <t>Flag Femme : Date de naissance</t>
  </si>
  <si>
    <t>Flag Femme : Date du divorce/ Décès du conjoint</t>
  </si>
  <si>
    <t>Flag Mari: État civil</t>
  </si>
  <si>
    <t>Flag Femme: État civil</t>
  </si>
  <si>
    <t>Femme: Résidante permanente ou non</t>
  </si>
  <si>
    <t>Mari: Résidant permanent ou non</t>
  </si>
  <si>
    <t>Durée du mariage en années atteintes (au cours de l'année)</t>
  </si>
  <si>
    <t xml:space="preserve">Flag Mari: Date de naissance </t>
  </si>
  <si>
    <t xml:space="preserve">Flag Femme: Date de naissance </t>
  </si>
  <si>
    <t>Personne décédée: Date de naissance</t>
  </si>
  <si>
    <t>Année de mariage</t>
  </si>
  <si>
    <t>Date de mariage</t>
  </si>
  <si>
    <t>Date de divorce/décès du conjoint</t>
  </si>
  <si>
    <t>Conjoint: Année de naissance  (1969-78 seulement l’épouse)</t>
  </si>
  <si>
    <t>Conjoint: Date de naissance (1969-78 seulement l’épouse)</t>
  </si>
  <si>
    <t>1e enfant mineur: Âge en années révolues</t>
  </si>
  <si>
    <t>1e enfant mineur: Âge en mois révolues</t>
  </si>
  <si>
    <t>2e enfant mineur: Âge en mois révolues</t>
  </si>
  <si>
    <t>3e enfant mineur: Âge en mois révolues</t>
  </si>
  <si>
    <t>4e enfant mineur: Âge en mois révolues</t>
  </si>
  <si>
    <t>Personne décédée: Sexe</t>
  </si>
  <si>
    <t>Personne décédée : Nationalité</t>
  </si>
  <si>
    <t>Personne décédée : État civil</t>
  </si>
  <si>
    <t>Mère: Etat civil (personne décédée &lt; 1 an)</t>
  </si>
  <si>
    <t>Conjoint: Pays d’origine</t>
  </si>
  <si>
    <t>Commune de domicile</t>
  </si>
  <si>
    <t>Personne décédée : Canton de domicile</t>
  </si>
  <si>
    <t>Personne décédée: Âge révolu</t>
  </si>
  <si>
    <t>Époux/Épouse: Âge en années atteintes</t>
  </si>
  <si>
    <t>Époux/Épouse: Âge en années révolues</t>
  </si>
  <si>
    <t>Mère: Âge (personne décédée &lt; 20 ans)</t>
  </si>
  <si>
    <t>Personne décédée: Âge en heures</t>
  </si>
  <si>
    <t>Personne décédée: Âge en jours révolus</t>
  </si>
  <si>
    <t>Personne décédée: Âge en mois révolus</t>
  </si>
  <si>
    <t>Personne décédée: Situation dans la profession</t>
  </si>
  <si>
    <t>Flag: Personne décédée : Date de naissance</t>
  </si>
  <si>
    <t>Flag: Date du divorce/Décès du conjoint</t>
  </si>
  <si>
    <t>Flag: Personne décédée  : État civil</t>
  </si>
  <si>
    <t>Personne décédée : Résidante permanente ou non</t>
  </si>
  <si>
    <t>Personne décédée: Âge atteint</t>
  </si>
  <si>
    <t>Opération / Autopsie: Une autopsie a-t-elle été faite ?</t>
  </si>
  <si>
    <t>Personne décédée: Heure de naissance (&lt; 1 mois)</t>
  </si>
  <si>
    <t>Personne décédée: Date du décès</t>
  </si>
  <si>
    <t>Personne décédée: Heure du décès</t>
  </si>
  <si>
    <t>Personne décédée: Profession</t>
  </si>
  <si>
    <t>Personne décédée: Code de la profession</t>
  </si>
  <si>
    <t>Mère: Année de naissance</t>
  </si>
  <si>
    <t>Mère: Date de naissance</t>
  </si>
  <si>
    <t>Père: Année de naissance</t>
  </si>
  <si>
    <t>Père: Date de naissance</t>
  </si>
  <si>
    <t>Mère: Nationalité</t>
  </si>
  <si>
    <t>Mère: Situation dans la profession</t>
  </si>
  <si>
    <t>Mère: Code de la profession</t>
  </si>
  <si>
    <t>Père/Soutien de famille : Situation dans la profession</t>
  </si>
  <si>
    <t>Père/Soutien de famille : Code de la profession</t>
  </si>
  <si>
    <t>Père: Code de commune d'origine</t>
  </si>
  <si>
    <t>Flag Mère: État civil</t>
  </si>
  <si>
    <t>Maladies initiales 1A Mère/Fœtus</t>
  </si>
  <si>
    <t>Maladies consécutives 1B Mère/Fœtus</t>
  </si>
  <si>
    <t>Maladies concomitantes 2A Mère/Fœtus</t>
  </si>
  <si>
    <t>Maladies concomitantes 2B Mère/Fœtus</t>
  </si>
  <si>
    <t>Cause initiale définitive Mère/Fœtus</t>
  </si>
  <si>
    <t>Non
Oui
Vide: Information manquantes pendant l'année statistique en court</t>
  </si>
  <si>
    <t>Jour, Mois et Année</t>
  </si>
  <si>
    <t>Heure
Inconnu</t>
  </si>
  <si>
    <t>Années révolues / Atteintes</t>
  </si>
  <si>
    <t>Mois révolus / Atteints</t>
  </si>
  <si>
    <t>Garçon
Fille</t>
  </si>
  <si>
    <t>Pays selon nomenclature OFS</t>
  </si>
  <si>
    <t>Durée de la grossesse en jours
Vide: pas d'indication</t>
  </si>
  <si>
    <t>À l'hôpital
À la maison
Autre lieu
Lieu inconnu
Pas d'indication</t>
  </si>
  <si>
    <t>Naissance simple
Naissance de jumeaux
Naissance de triplés
Naissance de quadruplés
Naissance de quintuplés
Naissance de sextuplés et plus</t>
  </si>
  <si>
    <t>Nombre de garçons / Filles
Vide: Naissance simple</t>
  </si>
  <si>
    <t>Taille en cm (1979-1986)
Taille en cm (dès 1987)
Pas d'indication</t>
  </si>
  <si>
    <t>Poids en grammes (1979-1986)
Poids en grammes (dès 1987)
Pas d'indication</t>
  </si>
  <si>
    <t>Rang de l'enfant né vivant
Vide: Mère pas marié / Inconnu</t>
  </si>
  <si>
    <t>Célibataire
Mariée
Veuve
Divorcée
Non mariée (dès 1998)
Liée par un partenariat enregistré (dès 2007)
Partenariat dissous (dès 2007)</t>
  </si>
  <si>
    <t>Mère pas mariée
Suisse
Étranger
Inconnu</t>
  </si>
  <si>
    <t>Domicile en Suisse selon liste officielle des communes de l'OFS
Domicile à l'étranger selon les codes des Etats de l'OFS</t>
  </si>
  <si>
    <t>Indépendant
Collaborateur familial
Directrice, fondée de pouvoir, fonctionnaire ayant une fonction de chef
Autre
Inconnu</t>
  </si>
  <si>
    <t>Voir la liste des professions du RFP de 1970</t>
  </si>
  <si>
    <t>Indépendant
Collaborateur familial
Directeur/-trice, fondée de pouvoir, Fonctionnaire ayant une fonction de chef
Autre
Inconnu</t>
  </si>
  <si>
    <t>Voir la liste des profressions du RFP de 1970</t>
  </si>
  <si>
    <t>Nombre</t>
  </si>
  <si>
    <t>Information du fournisseur de données (dès 1987)
Estimation (dès 1998)
Année correcte, jour et/ou mois estimés (dès 1998)</t>
  </si>
  <si>
    <t>1969-97
Information du fournisseur de données
Jour estimé
Mois estimé
Jour et mois estimés
Date entière estimée
Dès 1998
Information du fournisseur de données
Estimation
Année correcte, jour et/ou mois estimés</t>
  </si>
  <si>
    <t>Information du fournisseur de données
Estimation</t>
  </si>
  <si>
    <t>Aucune distinction entre domicile permanent et non permanent (1969-98)
Résidant permanent (dès 1999)
Résidant non permanent (requérant d'asile)
Personne qui bénéficie d'un séjour de courte durée
Résident à l'étranger</t>
  </si>
  <si>
    <t>Années révolues / Atteintes
Sans indication</t>
  </si>
  <si>
    <t>Nombre d'enfants
9 enfants et plus</t>
  </si>
  <si>
    <t>Conserve le nom qu'il portait jusqu'alors prend le nom de sa femme
Conserve le nom qu'il portait jusqu'alors, suivi du nom de sa femme (jusqu'en 2012)
Autre nom de l'homme (selon le droit étranger)
Choix du nom inconnu</t>
  </si>
  <si>
    <t>Porte son propre nom
Prend le nom de son mari
Conserve le nom qu'il portait jusqu'alors, suivi du nom de son mari (jusqu'en 2012)
Autre nom de la femme (selon le droit étranger)
Choix du nom inconnu</t>
  </si>
  <si>
    <t>Autre (1969-86)
Protestante
Catholique romaine
Catholique chrétienne
Autre religion chrétienne (dès 1987)
Israélite
Islamique (dès 1998)
Autre religion (dès 1987)
Sans confession
Indication refusée / Inconnu</t>
  </si>
  <si>
    <t>Indépendant
Collaborateur familial
Directeur/-trice, Fondée de pouvoir, Fonctionnaire ayant une fonction de chef
Autre
Inconnu</t>
  </si>
  <si>
    <t>1987-97
Information du fournisseur de données
Jour estimé
Mois estimé
Jour et mois estimés
Date entière estimée
Dès 1998
Information du fournisseur de données
Estimation
Année correcte, jour et/ou mois estimés</t>
  </si>
  <si>
    <t>1969-98
Aucune distinction entre domicile permanent et non-permanent
Dès 1999
Résident permanent
Résident non permanent
Résident à l'étranger</t>
  </si>
  <si>
    <t>1969-98
Aucune distinction entre domicile permanent et non-permanent
1999-2000
Résident permanent
Résident non permanent
Résident à l'étranger
Dès 2001
Résident permanent
Vide: Pas de personne de référence</t>
  </si>
  <si>
    <t>Suisse
Étranger</t>
  </si>
  <si>
    <t>Information du fournisseur de données
Estimation
Année correcte, jour et mois estimés</t>
  </si>
  <si>
    <t>Moins de 1 an
Années révolues / Atteintes</t>
  </si>
  <si>
    <t>0 à 60 mois (jusqu'à 5 ans)
61 mois et plus (plus de 5 ans)
Mois révolus / Atteints</t>
  </si>
  <si>
    <t>1969-2008
Homme
Femme
Tiers
Homme et tiers
Femme et tiers
Homme et femme
2009-2010
Demande de l'époux
Demande de l'épouse
Requête commune</t>
  </si>
  <si>
    <t>Action en divorce (dès 1984)
Action en séparation (1984-2008)
Action en nullité (1984-2008)</t>
  </si>
  <si>
    <t>Pas d'enfant mineur
1 à 5 enfants mineurs
6 enfants mineurs ou plus
Inconnu</t>
  </si>
  <si>
    <t>Suisse
Étranger
Inconnu</t>
  </si>
  <si>
    <t>Mère
Père
Tiers / Autre
Mère sous réserve (ou tiers)
Père sous réserve (ou tiers)
Mère et père / En commun</t>
  </si>
  <si>
    <t>Nombre d'enfants
Inconnu</t>
  </si>
  <si>
    <t>Numéro d'identification de l'enregistrement (clé primaire)</t>
  </si>
  <si>
    <t>Oui
Non
Vide: Information manquantes pendant l'année statistique en court</t>
  </si>
  <si>
    <t>Domicile en Suisse selon liste officielle des communes de l'OFS</t>
  </si>
  <si>
    <t>Domicile à l'étranger selon les codes des Etats de l'OFS</t>
  </si>
  <si>
    <t>Heure</t>
  </si>
  <si>
    <t>Heures révolues (1969-78)
Enfant décédé, âgé de plus d'un jour mais de moins d'un mois (1969-78)
Heures révolues (dès 1979)</t>
  </si>
  <si>
    <t>Moins
Enfant décédé, âgé de plus d'un an</t>
  </si>
  <si>
    <t>Indépendant
Collaborateur familial
Directeur/-trice, Fondé(e) de pouvoir, Fonctionnaire  ayant une fonction de chef
Autre
Inconnu</t>
  </si>
  <si>
    <t>Aucune distinction entre domicile permanent et non permanent (1969-89)
Résidant permanent (dès 1999)
Résidant non permanent (requérant d'asile)
Saisonnier
Personne qui bénéficie d'un séjour de courte durée
Résident à l'étranger</t>
  </si>
  <si>
    <t xml:space="preserve">Selon la classification standard CIM 8 </t>
  </si>
  <si>
    <t>1969-94:
Ni autopsie ni opération
Autopsie ou opération et autopsie
Opération sans autopsie
Inconnu
Dés 1995:
Pas d'autopsie
Oui
Non
Pas d'indication</t>
  </si>
  <si>
    <t>Pas d'autopsie
Oui
Non
Inconnu</t>
  </si>
  <si>
    <t>Pas d'autopsie
Cause de décès confirmée
Résultat non encore disponible
Inconnu</t>
  </si>
  <si>
    <t xml:space="preserve">Selon la classification standard CIM 10 </t>
  </si>
  <si>
    <t>Profession en text libre de 480 caractères</t>
  </si>
  <si>
    <t>Code interne à 8 chiffres de l'OFS pour la nomenclature suisse des professions</t>
  </si>
  <si>
    <t>1969-78:
À la maison/dans un lieu public ou en pleine nature
À I'hôpital, dans un établissement de soins dans un autre établissement
1979-86:
À la maison
À I'hôpital, dans un établissement de soins dans un home pour personnes âgées
Dans un lieu public, en plein nature
Dans un établissement pénitentiaire, en prison
Autre lieu ou lieu inconnu</t>
  </si>
  <si>
    <t>Années révolus / Atteints</t>
  </si>
  <si>
    <t>Selon la classification standard CIM 11</t>
  </si>
  <si>
    <t>Selon la classification standard CIM 12</t>
  </si>
  <si>
    <t>Selon la classification standard CIM 13</t>
  </si>
  <si>
    <t>Selon la classification standard CIM 14</t>
  </si>
  <si>
    <t>La maladie concerne
La mère
Le fœtus
Unconnu</t>
  </si>
  <si>
    <t>La maladie concerne
La mère
Le fœtus
Inconnu</t>
  </si>
  <si>
    <t>Selon la classification standard CIM 9</t>
  </si>
  <si>
    <t>Selon la classification standard CIM 10</t>
  </si>
  <si>
    <t>Selon la classification standard CIM 15</t>
  </si>
  <si>
    <t>Selon la classification standard CIM 16</t>
  </si>
  <si>
    <t>Selon la classification standard CIM 17</t>
  </si>
  <si>
    <t>Selon la classification standard CIM 18</t>
  </si>
  <si>
    <t>Validité</t>
  </si>
  <si>
    <t>1969-78 et dès 1987</t>
  </si>
  <si>
    <t>dès 1979</t>
  </si>
  <si>
    <t>dès 2006</t>
  </si>
  <si>
    <t>dès 1970</t>
  </si>
  <si>
    <t>dès 1998</t>
  </si>
  <si>
    <t>dès 2005</t>
  </si>
  <si>
    <t>dès 1984</t>
  </si>
  <si>
    <t>dès 2007</t>
  </si>
  <si>
    <t>dès 2018</t>
  </si>
  <si>
    <t>dès 1972</t>
  </si>
  <si>
    <t xml:space="preserve">
dès 1998</t>
  </si>
  <si>
    <t>dès 1995</t>
  </si>
  <si>
    <t>dès 1997</t>
  </si>
  <si>
    <t>1969-1978 et dès 1987</t>
  </si>
  <si>
    <t>Flag 0, 2, 3, 4, 7 entre 1969 et 1997 (voir nomenclature ci-dessus pour d'autres flags similaires)</t>
  </si>
  <si>
    <t>Labels</t>
  </si>
  <si>
    <t>La base de données contient également des entrées pour les "enfants" de plus de 18 ans.
Valeurs (Blohm Cordula BFS):
Hier sollte nur das Alter in Monaten für Minderjährige Kinder (unter 18 Jahre, 18+12Monate=216) erfasst werde. 
Aber es werden auch Werte zu älteren Kindern in der Datenbank generiert, weil diese Information basierend auf einem SQL Trigger automatisch erstellt wird. Es wird das Alter des Kindes in erfüllten Monaten zum Zeitpunkt des Todes des Elternteils berechnet.</t>
  </si>
  <si>
    <t>0-216</t>
  </si>
  <si>
    <t>Variable (Blohm Cordula BFS):
Diese beiden Variablen müssen getrennt gelistet werden, da sie unterschiedlich kodiert werden. 
Siehe auch M_WORT_AKT_GEM|ST_N</t>
  </si>
  <si>
    <t xml:space="preserve">La base de données contient également des entrées pour les "enfants" de plus d'un an.
Blohm Cordula BFS:
In der Synopsis von t_todesfall steht zwar "plus d'un jour mais de moins d'un mois", aber das macht hier keinen Sinn. Vermutlich wurde die Information von ALTER_STD_ERFUELLT_N kopiert und nicht entsprechend angepasst. 
</t>
  </si>
  <si>
    <r>
      <t>Jours (1969-78)
Enfant décédé, âgé de plus d'un</t>
    </r>
    <r>
      <rPr>
        <strike/>
        <sz val="11"/>
        <rFont val="Arial"/>
        <family val="2"/>
      </rPr>
      <t xml:space="preserve"> jour</t>
    </r>
    <r>
      <rPr>
        <sz val="11"/>
        <rFont val="Arial"/>
        <family val="2"/>
      </rPr>
      <t xml:space="preserve"> mois mais de moins d'un </t>
    </r>
    <r>
      <rPr>
        <strike/>
        <sz val="11"/>
        <rFont val="Arial"/>
        <family val="2"/>
      </rPr>
      <t xml:space="preserve">mois </t>
    </r>
    <r>
      <rPr>
        <sz val="11"/>
        <rFont val="Arial"/>
        <family val="2"/>
      </rPr>
      <t>an (1969-78)
Jours (dès 1979)</t>
    </r>
  </si>
  <si>
    <t xml:space="preserve">Variables communiquées par GES après la fin de la production (en relation avec la Statistique </t>
  </si>
  <si>
    <t>Flag Nombre de garçons en cas de naissance multiple</t>
  </si>
  <si>
    <t>Flag Nombre de filles en cas de naissance multiple</t>
  </si>
  <si>
    <t>Baumgartner Stefan BFS:
dans le KD: 111,112,114,115, vide</t>
  </si>
  <si>
    <t>Bâtiment comprenant uniquement des logements non occupés en permanence
Bâtiment non habité, à usage exclusivement collectif
Bâtiment habité ou habitation de fortune, à usage exclusivement collectif (pas de ménage privé, pas de logement)
Bâtiment habité uniquement sous l'angle économique, aucune unité-logement n'a une cuisine ou une cuisinette
Bâtiment habité comprenant au minimum un ménage privé ou un logement ou Habitation de fortune habitée par au moins 1 ménage privé</t>
  </si>
  <si>
    <t xml:space="preserve">Le code 7 signifie que le bâtiment doit être 
ignoré sous l'angle légal.  </t>
  </si>
  <si>
    <t>Lorsque G-GART = 4, seuls les champs 
W-BARW/Z , W-APTO, W-APWS, W-APZR, 
W-APHHW comprennent des valeurs &gt; 0.
Pour toute exploitation, exclure G-GART = 5 
ou poser la condition GW-TGP = "J".</t>
  </si>
  <si>
    <t>Chiffre
Pas admis</t>
  </si>
  <si>
    <t xml:space="preserve">Bâtiment affecté principalement à d'autres usages que l'habitation (y compris les hôtels, homes, hôpitaux, etc.)
Bâtiment exclusivement à usage d'habitation
Bâtiment principalement  à usage d'habitation (y compris les maisons paysannes liées à une exploitation agricole)
Habitation de fortune mobile (par ex. une roulotte) ou provisoire (par ex: une baraque)
Enregistrement-bâtiment fictif pour ménage administratif
Pas admis
</t>
  </si>
  <si>
    <t>Sous la rubrique Autre (11), on trouve au niveau suisse:
82 % de sociétés anonymes 
9   %  de sociétés coopératives 
9   % de divers</t>
  </si>
  <si>
    <t>Nombre d'unités-logement occupées selon le domicile économique dans le bâtiment</t>
  </si>
  <si>
    <t xml:space="preserve">Seulement pour les cantons de LU, BS, BL, GE et pour la ville de Lausanne
Autres régions
</t>
  </si>
  <si>
    <t>Code quartier</t>
  </si>
  <si>
    <t>Catégorie de bâtiment sous l'angle du domicile légal</t>
  </si>
  <si>
    <t>Il s'agit ici du nombre d'enregistrements-
logement par bâtiment. Ne pas confondre avec le nombre d'unités-logement ou le nombre de logements par bâtiment. Un bâtiment à usage exclusivement 
collectif comporte un ou plusieurs enregistrements-logement mais ne comporte pas d'unité-logement.</t>
  </si>
  <si>
    <t>Nombre total d'unités-logement dans le bâtiment</t>
  </si>
  <si>
    <t xml:space="preserve">Nombre d'unités-logement occupées selon le domicile légal dans le bâtiment
</t>
  </si>
  <si>
    <t xml:space="preserve">Nombre de logements dans le bâtiment habités temporairement selon le domicile économique
</t>
  </si>
  <si>
    <t>Nombre de logements dans le bâtiment habités temporairement selon le domicile légal</t>
  </si>
  <si>
    <t xml:space="preserve">Nombre de logements vacants ou vides dans le bâtiment
</t>
  </si>
  <si>
    <t xml:space="preserve">Nombre total de personnes dans le bâtiment
</t>
  </si>
  <si>
    <t xml:space="preserve">Nombre de personnes dans le bâtiment selon le domicile économique
</t>
  </si>
  <si>
    <t>Numéro univoque en Suisse. Toutes les personnes d'un même ménage ont le même numéro.</t>
  </si>
  <si>
    <t>Univoque à l'intérieur du bâtiment.</t>
  </si>
  <si>
    <t>Pour les personnes, on distingue les catégories de domicile (WKAT) suivantes: 
WKAT = 1: un seul domicile (personne est domiciliée économiquement et  civilement dans la commune); 
WKAT = 3: dom. de séjour est le domicile principal; 
WKAT = 4:  dom. civil est le domicile d'appoint; 
Domicile économique = 1 ou 3. 
Domicile civil = 1 ou 4
Les genres d'enregistrement sont composés comme suit:
1: personnes avec WKAT=1
3: personnes avec WKAT= 1 ou 3
4: personnes avec WKAT= 1 ou 4</t>
  </si>
  <si>
    <t>Toutes les personnes du ménage n'ont qu'un seul domicile
Ménages dans lesquels seuls les membres domiciliés économiquement sont pris en compte
Ménages dans lesquels seuls les membres domiciliés civilement sont pris en compte</t>
  </si>
  <si>
    <t>Voir H_HTYP pour la signification des WKAT.</t>
  </si>
  <si>
    <t>Population civile seulement (catégories 1 et 4).</t>
  </si>
  <si>
    <t xml:space="preserve">Population économique seulement (catégories 1 et 3).
</t>
  </si>
  <si>
    <t>Enfants sans limitation d'âge ou d'état civil, les belles-filles et beaux-fils sont compris (P_STHHW=121).</t>
  </si>
  <si>
    <t>Uniquement les enfants célibataires (P_STHHW=121 et P_ZIVL=1)</t>
  </si>
  <si>
    <t xml:space="preserve">Enfants avec P_STHHW=121 </t>
  </si>
  <si>
    <t>Enfants avec P_STHHW=121</t>
  </si>
  <si>
    <t>Enfants célibataires avec P_STHHW=121 et P_ZIVL=1</t>
  </si>
  <si>
    <t>Fils célibataires de 16 ans et plus avec P_STHHW=121, P_ZIVL=1 et P_GESL=1</t>
  </si>
  <si>
    <t>Filles célibataires avec P_STHHW=121, P_ZIVL=1 et P_GESL=2</t>
  </si>
  <si>
    <t>Nombre de personnes avec P_STHHW=122: situation dans le ménage = (beau-)père ou (belle-)mère</t>
  </si>
  <si>
    <t>Nombre de personnes avec P_STHHW=123: situation dans le ménage = frère, soeur</t>
  </si>
  <si>
    <t>Nombre de personnes avec P_STHHW=124: situation dans le ménage =  autre lien de parenté du chef de ménage</t>
  </si>
  <si>
    <t>Nombre de personnes avec P_STHHW=131, 132, 133 ou 134: situation dans le ménage = autres situations dans le ménage</t>
  </si>
  <si>
    <t>1895 … 2000
Ménage collectif, ménage privé sans partenaire de la personne de référence
Sans indication
Célibataires</t>
  </si>
  <si>
    <t>1890 … 2000
Ménage collectif, ménage privé sans partenaire de la personne de référence
Sans indication
Suisses de naissance
Etrangers</t>
  </si>
  <si>
    <t>11101 … 91107, voir liste 13
Ménage collectif, ménage privé sans partenaire de la personne de référence
Professions que l'on ne peut pas exercer
Sans indication
Personnes non actives, sans emploi</t>
  </si>
  <si>
    <t>98.0 signifie 98 heures et plus.
Le code -8.0 comprend aussi les non actifs</t>
  </si>
  <si>
    <t>Ce champ porte une valeur lorsque l'unité-logement est occupée en permanence sous l’angle économique (H_BARW = 1)
H_BARW = 2,3,4 ou H_BARW # 1, 2, 3, 4 ou H_GART = 4 ou H_GART=5</t>
  </si>
  <si>
    <t>Pas de pièce d'habitation indépendante 
1 à 8 pièces d’habitation indépendantes 
Il ne s'agit pas d'une unité-logement ou il s’agit d’une habitation de fortune ou il s'agit d'un bâtiment fictif</t>
  </si>
  <si>
    <t xml:space="preserve">Il ne s’agit pas d’une unité-logement occupée par des locataires ou des coopérateurs ou l’indication du loyer manque ou  l’indication de la surface manque ou il s’agit d’une habitation de fortune
Loyer mensuel net par m2
</t>
  </si>
  <si>
    <t>1987-97
Information du fournisseur de données 
Jour estimé
Mois estimé
Jour et mois estimés
Date entière estimée
Dès 1998
Information du fournisseur de données
Estimation
Année correcte, jour et/ou mois estimés</t>
  </si>
  <si>
    <t>yob</t>
  </si>
  <si>
    <t>année de naissance</t>
  </si>
  <si>
    <t>pseudoVN</t>
  </si>
  <si>
    <t>1-N</t>
  </si>
  <si>
    <t>identifiant unique</t>
  </si>
  <si>
    <t>Date du premier lien</t>
  </si>
  <si>
    <t>Date du dernier lien</t>
  </si>
  <si>
    <t>Type de lien (selon la date du dernier lien)</t>
  </si>
  <si>
    <t>Lien maximal jusqu'en 2019
Dernier lien entre 2010-2018
Dernier lien entre 2001-2010 (pas lié à STATPOP)
Selon la date d'émigration la plus récente
Selon la date du décès
Dernier lien entre 1991-1999 (pas lié au recensement 2000)
Selon date d'émigration (entre 1990-2000)</t>
  </si>
  <si>
    <t>imputation d'un décès</t>
  </si>
  <si>
    <t>Date du dernier lien (avec imputation des décès)</t>
  </si>
  <si>
    <t>Type de lien (selon la date du dernier lien avecc imputation des décès)</t>
  </si>
  <si>
    <t xml:space="preserve">Lien maximal jusqu'en 2019
Dernier lien entre 2010-2018
Dernier lien entre 2001-2010 (pas lié à STATPOP)
Selon la date d'émigration la plus récente
Selon la date du décès
Selon la date du décès imputée
Dernier lien entre 1991-1999 (pas lié au recensement 2000)
Selon date d'émigration (entre 1990-2000)
Selon la date du décès imputée pour le recensement 1990
</t>
  </si>
  <si>
    <t>année</t>
  </si>
  <si>
    <t>yearOfBirth</t>
  </si>
  <si>
    <t>YYYY
9999</t>
  </si>
  <si>
    <t>Année
Aucune indication</t>
  </si>
  <si>
    <t>Lien réussi entre l'enregistrement RFP2000 et l'enregistrement de STATPOP 2011. Aucun lien possible, a quitté la cohorte avant 2011, perte de suivi avant 2011, nouvel enregistrement à partir de 2012.</t>
  </si>
  <si>
    <t>identifiant pseudonymisé permettant de faire le lien avec d'autres statistiques incluant un numéro AVS - uniquement en cas de demande d'appariement</t>
  </si>
  <si>
    <t>identifiant pseudonymisé permettant de faire le lien avec le recensement 1990 - uniquement en cas de demande d'appariement</t>
  </si>
  <si>
    <t>identifiant pseudonymisé permettant de faire le lien avec le recensement 2000 - uniquement en cas de demande d'appariement</t>
  </si>
  <si>
    <t>identifiant pseudonymisé permettant de faire le lien avec BEVNAT décès - uniquement en cas de demande d'appariement</t>
  </si>
  <si>
    <t>identifiant pseudonymisé permettant de faire le lien avec les données PETRA - uniquement en cas de demande d'appariement</t>
  </si>
  <si>
    <t>numéro AVS - identifiant STATPOP 2010-2019 (pseudonymisé)</t>
  </si>
  <si>
    <t>identifiant recensement 1990 (pseudonymisé)</t>
  </si>
  <si>
    <t>identifiant recensement 2000 (pseudonymisé)</t>
  </si>
  <si>
    <t>identifiant BEVNAT décès (pseudonymisé)</t>
  </si>
  <si>
    <t>identifiant PETRA (pseudonymisé)</t>
  </si>
  <si>
    <t>pseudonymisé</t>
  </si>
  <si>
    <t>zar_id</t>
  </si>
  <si>
    <t>PETRA</t>
  </si>
  <si>
    <t>BEVNAT décès</t>
  </si>
  <si>
    <t xml:space="preserve">RFP 1990, RFP 2000, STATPOP 2010-2019, BEVNAT décès </t>
  </si>
  <si>
    <t xml:space="preserve">Date à laquelle la personne a quitté la cohorte par émigration, décès, perte de suivi ou fin de la période d'observation (fin 2019) . Générée en utilisant les dates de référence du recensement 2000, les dates de référence des fichiers de personnes STATPOP 2010-2019 et les dates d'émigration des fichiers de modifications 2010-2019 et la date de décès des BEVNAT décès. Si une personne a émigré et ré-immigré, cela n'influence pas la date d'arrêt. Les décès imputés ne sont pas inclus dans cette variable de date d'arrêt. </t>
  </si>
  <si>
    <t>Date à laquelle la personne a quitté la cohorte par émigration, décès, perte de suivi ou fin de la période d'observation (fin 2019) . Générée en utilisant les dates de référence du recensement 2000, les dates de référence des fichiers de personnes STATPOP 2010-2019 et les dates d'émigration des fichiers de modifications 2010-2019 et la date de décès des BEVNAT décès (y compris les décès imputés). Si une personne a émigré et ré-immigré, cela n'influence pas la date d'arrêt.</t>
  </si>
  <si>
    <t xml:space="preserve">BEVNAT décès </t>
  </si>
  <si>
    <t>STATPOP mouvements 2011-2019</t>
  </si>
  <si>
    <t>STATPOP effectif 2010-2019</t>
  </si>
  <si>
    <t>STATPOP effectif 2011</t>
  </si>
  <si>
    <t>RFP 1990, RFP 2000, STATPOP effectif 2010-2019</t>
  </si>
  <si>
    <t>STATPOP fichier ménage 2012-2019</t>
  </si>
  <si>
    <t>Numéro à 14 chiffres
Manquant</t>
  </si>
  <si>
    <t>RFP 1990 fichier bâtiments
RFP 2000 fichier bâtiments</t>
  </si>
  <si>
    <t>X-Coordonnée
Manquant</t>
  </si>
  <si>
    <t>Y-Coordonnée
Manquant</t>
  </si>
  <si>
    <t>2480000 - 2840000
.</t>
  </si>
  <si>
    <t>1070000 - 1300000
.</t>
  </si>
  <si>
    <t>rYY_geoyha</t>
  </si>
  <si>
    <t>vY_geoxha</t>
  </si>
  <si>
    <t>rYY_geoxha</t>
  </si>
  <si>
    <t>vY_geoyha</t>
  </si>
  <si>
    <t>Commune de résidence en vY</t>
  </si>
  <si>
    <t>Commune de résidence 2006 (référence 2011)</t>
  </si>
  <si>
    <t>Commune de résidence en rYY</t>
  </si>
  <si>
    <t xml:space="preserve">Canton 2006 (référence 2011) </t>
  </si>
  <si>
    <t>Région linguistique 2006 (référence2011)</t>
  </si>
  <si>
    <t>Urbanisation 2006 (référence 2011)</t>
  </si>
  <si>
    <t>vY_canton
rYY_canton</t>
  </si>
  <si>
    <t>Canton en vY
Canton en rYY</t>
  </si>
  <si>
    <t>Cette variable indique le canton de la commune déclarante au moment du recensement. Le canton a été attribué en utilisant la variable commune et le fichier OFS "Raumgliederung".</t>
  </si>
  <si>
    <t>vY_lang
rYY_lang</t>
  </si>
  <si>
    <t>Région linguistique en vY ou rYY</t>
  </si>
  <si>
    <t>vY_urban
rYY_urban</t>
  </si>
  <si>
    <t>Urbanisation en vY ou rYY</t>
  </si>
  <si>
    <t>État civil en vY</t>
  </si>
  <si>
    <t>État civil en rYY</t>
  </si>
  <si>
    <t>Date du dernier changement d'état civil en rYY</t>
  </si>
  <si>
    <t>Date de marriage à la date de décès</t>
  </si>
  <si>
    <t>Date du divorce ou du décès du conjoint</t>
  </si>
  <si>
    <t>Date de la séparation en rYY</t>
  </si>
  <si>
    <t>Nationalité en 1990</t>
  </si>
  <si>
    <t>Nationalité en 2000</t>
  </si>
  <si>
    <t>Nationalité en rYY</t>
  </si>
  <si>
    <t>Permis de séjour en 1990</t>
  </si>
  <si>
    <t>Permis de séjour en 2000</t>
  </si>
  <si>
    <t>Permis de séjour en rYY</t>
  </si>
  <si>
    <t>Date d'arrivée en Suisse en rYY</t>
  </si>
  <si>
    <t>Nombre de personnes dans le ménage en vY</t>
  </si>
  <si>
    <t>Nombre de personnes dans le ménage en rYY</t>
  </si>
  <si>
    <t>Type de ménage en vY</t>
  </si>
  <si>
    <t>religion en 1990</t>
  </si>
  <si>
    <t>religion en 2000</t>
  </si>
  <si>
    <t>catégorie socioprofessionnelle en 1990</t>
  </si>
  <si>
    <t>catégorie socioprofessionnelle en 2000</t>
  </si>
  <si>
    <t>niveau d'éducation/formation actuelle en 2000</t>
  </si>
  <si>
    <t>niveau d'éducation/formation actuelle en 1990</t>
  </si>
  <si>
    <t>niveau d'éducation et de formation achevée le plus élevé en 1990</t>
  </si>
  <si>
    <t>niveau d'éducation et de formation achevée le plus élevé en 2000</t>
  </si>
  <si>
    <t>niveau d'éducation et de formation achevée le plus élevé du partenaire en 1990</t>
  </si>
  <si>
    <t>niveau d'éducation et de formation achevée le plus élevé du partenaire en 2000</t>
  </si>
  <si>
    <r>
      <t xml:space="preserve">Identificateur fédéral de bâtiment (EGID) en rYY </t>
    </r>
    <r>
      <rPr>
        <sz val="11"/>
        <color rgb="FFFF0000"/>
        <rFont val="Arial"/>
        <family val="2"/>
      </rPr>
      <t>(pseudonymisé)</t>
    </r>
  </si>
  <si>
    <r>
      <t xml:space="preserve">numéro de bâtiment en 1990 (ne correspond pas à l'EGID) </t>
    </r>
    <r>
      <rPr>
        <sz val="11"/>
        <color rgb="FFFF0000"/>
        <rFont val="Arial"/>
        <family val="2"/>
      </rPr>
      <t>(pseudonymisé)</t>
    </r>
  </si>
  <si>
    <r>
      <t xml:space="preserve">numéro de bâtiment en 2000 (ne correspond pas à l'EGID) </t>
    </r>
    <r>
      <rPr>
        <sz val="11"/>
        <color rgb="FFFF0000"/>
        <rFont val="Arial"/>
        <family val="2"/>
      </rPr>
      <t>(pseudonymisé)</t>
    </r>
  </si>
  <si>
    <t>Identificateur fédéral de logement (EWID) en rYY</t>
  </si>
  <si>
    <t>Identificateur fédéral de logement (EWID) en vY</t>
  </si>
  <si>
    <t>coordonnée géographique à l'hectare axe y en rYY</t>
  </si>
  <si>
    <t>coordonnée géographique à l'hectare axe x en vY</t>
  </si>
  <si>
    <t>coordonnée géographique à l'hectare axe x en rYY</t>
  </si>
  <si>
    <t>coordonnée géographique à l'hectare axe y en vY</t>
  </si>
  <si>
    <t>rYY se réfère à STATPOP (r=registre) pour les années 2010-2019
vY se réfère aux recensements (v=VZ) pour les années 1990 (v9) et 2000 (v0)
les variables en bleu ne sont transmises qu'en cas de demande d'appariement afin de faire les liens avec les autres statistiques</t>
  </si>
  <si>
    <t>Version Codebook : 28.06.2023</t>
  </si>
  <si>
    <t>SSEP</t>
  </si>
  <si>
    <t>Swiss neighbourhood index of socio-economic position</t>
  </si>
  <si>
    <t>2000, 2012-2015</t>
  </si>
  <si>
    <t>contact</t>
  </si>
  <si>
    <t>geox</t>
  </si>
  <si>
    <t>numérique</t>
  </si>
  <si>
    <t>coordonnées géographiques</t>
  </si>
  <si>
    <t>geoy</t>
  </si>
  <si>
    <t>ssep1</t>
  </si>
  <si>
    <t>0-100</t>
  </si>
  <si>
    <t>Swiss-SEP 1.0 index 2000</t>
  </si>
  <si>
    <t>ssep1_t</t>
  </si>
  <si>
    <t>1 (du plus petit) à 3 (au plus grand)</t>
  </si>
  <si>
    <t>Swiss-SEP 1.0 2000 - tertiles</t>
  </si>
  <si>
    <t>ssep1_q</t>
  </si>
  <si>
    <t>1 (du plus petit) à 5 (au plus grand)</t>
  </si>
  <si>
    <t>Swiss-SEP 1.0 2000 - quintiles</t>
  </si>
  <si>
    <t>ssep1_d</t>
  </si>
  <si>
    <t>1 (du plus petit) à 10 (au plus grand)</t>
  </si>
  <si>
    <t>Swiss-SEP 1.0 2000 - deciles</t>
  </si>
  <si>
    <t>ssep2</t>
  </si>
  <si>
    <t>Swiss-SEP 2.0 index 2012-2015</t>
  </si>
  <si>
    <t>ssep2_t</t>
  </si>
  <si>
    <t>Swiss-SEP 2.0 2012-2015 - tertiles</t>
  </si>
  <si>
    <t>ssep2_q</t>
  </si>
  <si>
    <t>Swiss-SEP 2.0 2012-2015 - quintiles</t>
  </si>
  <si>
    <t>ssep2_d</t>
  </si>
  <si>
    <t>Swiss-SEP 2.0 2012-2015 - deciles</t>
  </si>
  <si>
    <t>ssep3</t>
  </si>
  <si>
    <t>Swiss-SEP 3.0 index 2000+2012-2015</t>
  </si>
  <si>
    <t>ssep3_t</t>
  </si>
  <si>
    <t>Swiss-SEP 3.0 2000+2012-2015 - tertiles</t>
  </si>
  <si>
    <t>ssep3_q</t>
  </si>
  <si>
    <t>Swiss-SEP 3.0 2000+2012-2015 - quintiles</t>
  </si>
  <si>
    <t>ssep3_d</t>
  </si>
  <si>
    <t>Swiss-SEP 3.0 2000+2012-2015 - deciles</t>
  </si>
  <si>
    <t>buildid</t>
  </si>
  <si>
    <t>numéro du bâtiment - n'est transmis qu'en cas de demande d'appariement</t>
  </si>
  <si>
    <t>numérique (pseudonymisé)</t>
  </si>
  <si>
    <t>Ficher complet livré (sauf variables en bleu)</t>
  </si>
  <si>
    <t>La base de données SNC comprend plusieurs jeux de données.
Le fichier SNC standard, ainsi que les fichiers avant 2010, peuvent être commandés via une procédure simplifiée (demande de données individuelles standard). 
Le fichier SNC standard peut également être complété, grâce au numéro d'AVS pseudonymisé, contenu dans tous les fichiers post-2010. La procédure est celle d'une demande d'appariement (fichiers listés ci-dessous ou autres fichiers OFS/tiers). 
La colonne « Extrait SNC » dans les différents fichiers indique si la variable a déjà été reprise dans le fichier SNC standard.</t>
  </si>
  <si>
    <t>Extrait SNC (fichier SNC standard)</t>
  </si>
  <si>
    <t>Recensement fédéral de la population 1990</t>
  </si>
  <si>
    <t>Recensement fédéral de la population 2000</t>
  </si>
  <si>
    <t>1969-2019</t>
  </si>
  <si>
    <r>
      <t>Identificateur unique pour chaque individu</t>
    </r>
    <r>
      <rPr>
        <sz val="11"/>
        <color rgb="FFFF0000"/>
        <rFont val="Arial"/>
        <family val="2"/>
      </rPr>
      <t xml:space="preserve"> (pseudonymisé)</t>
    </r>
  </si>
  <si>
    <r>
      <t>Numéro de ménage en 1990</t>
    </r>
    <r>
      <rPr>
        <sz val="11"/>
        <color rgb="FFFF0000"/>
        <rFont val="Arial"/>
        <family val="2"/>
      </rPr>
      <t xml:space="preserve"> (pseudonymisé)</t>
    </r>
  </si>
  <si>
    <r>
      <t>Numéro de ménage en 2000</t>
    </r>
    <r>
      <rPr>
        <sz val="11"/>
        <color rgb="FFFF0000"/>
        <rFont val="Arial"/>
        <family val="2"/>
      </rPr>
      <t xml:space="preserve"> (pseudonymisé)</t>
    </r>
  </si>
  <si>
    <r>
      <t>Numéro de ménage en rYY</t>
    </r>
    <r>
      <rPr>
        <sz val="11"/>
        <color rgb="FFFF0000"/>
        <rFont val="Arial"/>
        <family val="2"/>
      </rPr>
      <t xml:space="preserve"> (pseudonymisé)</t>
    </r>
  </si>
  <si>
    <t xml:space="preserve">h_hhnr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</si>
</sst>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3" x14ac:knownFonts="1">
    <font>
      <sz val="12"/>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u/>
      <sz val="12"/>
      <color theme="10"/>
      <name val="Calibri"/>
      <family val="2"/>
      <scheme val="minor"/>
    </font>
    <font>
      <sz val="11"/>
      <name val="Arial"/>
      <family val="2"/>
    </font>
    <font>
      <b/>
      <i/>
      <sz val="11"/>
      <color rgb="FFC00000"/>
      <name val="Arial"/>
      <family val="2"/>
    </font>
    <font>
      <i/>
      <sz val="11"/>
      <color rgb="FFC00000"/>
      <name val="Arial"/>
      <family val="2"/>
    </font>
    <font>
      <b/>
      <sz val="11"/>
      <color theme="1"/>
      <name val="Arial"/>
      <family val="2"/>
    </font>
    <font>
      <u/>
      <sz val="11"/>
      <color theme="10"/>
      <name val="Arial"/>
      <family val="2"/>
    </font>
    <font>
      <b/>
      <sz val="11"/>
      <name val="Arial"/>
      <family val="2"/>
    </font>
    <font>
      <sz val="10"/>
      <name val="Arial"/>
      <family val="2"/>
    </font>
    <font>
      <u/>
      <sz val="10"/>
      <color theme="10"/>
      <name val="Arial"/>
      <family val="2"/>
    </font>
    <font>
      <sz val="11"/>
      <color rgb="FFFF0000"/>
      <name val="Arial"/>
      <family val="2"/>
    </font>
    <font>
      <i/>
      <sz val="11"/>
      <color theme="1"/>
      <name val="Arial"/>
      <family val="2"/>
    </font>
    <font>
      <sz val="12"/>
      <name val="Times New Roman"/>
      <family val="1"/>
    </font>
    <font>
      <b/>
      <sz val="10.5"/>
      <color indexed="10"/>
      <name val="Times New Roman"/>
      <family val="1"/>
    </font>
    <font>
      <sz val="10.5"/>
      <color indexed="10"/>
      <name val="Times New Roman"/>
      <family val="1"/>
    </font>
    <font>
      <b/>
      <i/>
      <sz val="11"/>
      <color theme="1"/>
      <name val="Arial"/>
      <family val="2"/>
    </font>
    <font>
      <i/>
      <sz val="11"/>
      <name val="Arial"/>
      <family val="2"/>
    </font>
    <font>
      <sz val="11"/>
      <color theme="1"/>
      <name val="Calibri"/>
      <family val="2"/>
      <scheme val="minor"/>
    </font>
    <font>
      <u/>
      <sz val="11"/>
      <color theme="10"/>
      <name val="Calibri"/>
      <family val="2"/>
    </font>
    <font>
      <u/>
      <sz val="11"/>
      <name val="Arial"/>
      <family val="2"/>
    </font>
    <font>
      <sz val="11"/>
      <color indexed="10"/>
      <name val="Arial"/>
      <family val="2"/>
    </font>
    <font>
      <strike/>
      <sz val="11"/>
      <name val="Arial"/>
      <family val="2"/>
    </font>
    <font>
      <b/>
      <u/>
      <sz val="11"/>
      <name val="Arial"/>
      <family val="2"/>
    </font>
    <font>
      <sz val="11"/>
      <color indexed="14"/>
      <name val="Arial"/>
      <family val="2"/>
    </font>
    <font>
      <b/>
      <i/>
      <sz val="11"/>
      <name val="Arial"/>
      <family val="2"/>
    </font>
    <font>
      <u/>
      <sz val="11"/>
      <color theme="1"/>
      <name val="Arial"/>
      <family val="2"/>
    </font>
    <font>
      <sz val="11"/>
      <color rgb="FF000000"/>
      <name val="Arial"/>
      <family val="2"/>
    </font>
    <font>
      <i/>
      <sz val="11"/>
      <color rgb="FF000000"/>
      <name val="Arial"/>
      <family val="2"/>
    </font>
    <font>
      <sz val="11"/>
      <color rgb="FF00B050"/>
      <name val="Arial"/>
      <family val="2"/>
    </font>
    <font>
      <sz val="11"/>
      <color theme="4"/>
      <name val="Arial"/>
      <family val="2"/>
    </font>
    <font>
      <u/>
      <sz val="11"/>
      <color theme="4"/>
      <name val="Arial"/>
      <family val="2"/>
    </font>
    <font>
      <sz val="12"/>
      <color theme="4"/>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7" tint="0.79998168889431442"/>
        <bgColor indexed="64"/>
      </patternFill>
    </fill>
  </fills>
  <borders count="18">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hair">
        <color auto="1"/>
      </bottom>
      <diagonal/>
    </border>
    <border>
      <left style="thin">
        <color auto="1"/>
      </left>
      <right style="thin">
        <color auto="1"/>
      </right>
      <top style="thin">
        <color auto="1"/>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indexed="64"/>
      </left>
      <right style="thin">
        <color indexed="64"/>
      </right>
      <top style="thin">
        <color indexed="64"/>
      </top>
      <bottom style="thin">
        <color indexed="64"/>
      </bottom>
      <diagonal/>
    </border>
    <border>
      <left style="thin">
        <color auto="1"/>
      </left>
      <right/>
      <top style="thin">
        <color indexed="64"/>
      </top>
      <bottom style="hair">
        <color auto="1"/>
      </bottom>
      <diagonal/>
    </border>
    <border>
      <left/>
      <right/>
      <top style="thin">
        <color indexed="64"/>
      </top>
      <bottom style="hair">
        <color auto="1"/>
      </bottom>
      <diagonal/>
    </border>
    <border>
      <left/>
      <right style="thin">
        <color auto="1"/>
      </right>
      <top style="thin">
        <color indexed="64"/>
      </top>
      <bottom style="hair">
        <color auto="1"/>
      </bottom>
      <diagonal/>
    </border>
  </borders>
  <cellStyleXfs count="10">
    <xf numFmtId="0" fontId="0" fillId="0" borderId="0"/>
    <xf numFmtId="0" fontId="22" fillId="0" borderId="0" applyNumberFormat="0" applyFill="0" applyBorder="0" applyAlignment="0" applyProtection="0"/>
    <xf numFmtId="0" fontId="29" fillId="0" borderId="0"/>
    <xf numFmtId="0" fontId="30" fillId="0" borderId="0" applyNumberFormat="0" applyFill="0" applyBorder="0" applyAlignment="0" applyProtection="0">
      <alignment vertical="top"/>
      <protection locked="0"/>
    </xf>
    <xf numFmtId="0" fontId="29" fillId="0" borderId="0"/>
    <xf numFmtId="0" fontId="33" fillId="0" borderId="0"/>
    <xf numFmtId="0" fontId="29" fillId="0" borderId="0"/>
    <xf numFmtId="0" fontId="21" fillId="0" borderId="0"/>
    <xf numFmtId="0" fontId="38" fillId="0" borderId="0"/>
    <xf numFmtId="0" fontId="39" fillId="0" borderId="0" applyNumberFormat="0" applyFill="0" applyBorder="0" applyAlignment="0" applyProtection="0">
      <alignment vertical="top"/>
      <protection locked="0"/>
    </xf>
  </cellStyleXfs>
  <cellXfs count="234">
    <xf numFmtId="0" fontId="0" fillId="0" borderId="0" xfId="0"/>
    <xf numFmtId="0" fontId="24" fillId="4" borderId="0" xfId="0" applyFont="1" applyFill="1" applyAlignment="1">
      <alignment horizontal="left" vertical="top" wrapText="1"/>
    </xf>
    <xf numFmtId="0" fontId="26" fillId="5" borderId="0" xfId="0" applyFont="1" applyFill="1" applyAlignment="1">
      <alignment horizontal="left" vertical="center"/>
    </xf>
    <xf numFmtId="0" fontId="26" fillId="5" borderId="0" xfId="0" applyFont="1" applyFill="1" applyAlignment="1">
      <alignment horizontal="left" vertical="center" wrapText="1"/>
    </xf>
    <xf numFmtId="0" fontId="26" fillId="5" borderId="0" xfId="0" applyFont="1" applyFill="1" applyAlignment="1">
      <alignment vertical="center" wrapText="1"/>
    </xf>
    <xf numFmtId="0" fontId="27" fillId="0" borderId="1" xfId="1" applyFont="1" applyBorder="1"/>
    <xf numFmtId="0" fontId="27" fillId="0" borderId="1" xfId="1" applyFont="1" applyBorder="1" applyAlignment="1">
      <alignment horizontal="left" vertical="top"/>
    </xf>
    <xf numFmtId="0" fontId="27" fillId="3" borderId="0" xfId="1" applyFont="1" applyFill="1"/>
    <xf numFmtId="0" fontId="26" fillId="5" borderId="0" xfId="0" applyFont="1" applyFill="1" applyAlignment="1">
      <alignment vertical="center"/>
    </xf>
    <xf numFmtId="0" fontId="23" fillId="0" borderId="0" xfId="0" applyFont="1" applyAlignment="1">
      <alignment horizontal="left" vertical="top" wrapText="1"/>
    </xf>
    <xf numFmtId="0" fontId="23" fillId="0" borderId="0" xfId="2" applyFont="1" applyAlignment="1">
      <alignment vertical="top" wrapText="1"/>
    </xf>
    <xf numFmtId="0" fontId="26" fillId="5" borderId="0" xfId="2" applyFont="1" applyFill="1" applyAlignment="1">
      <alignment vertical="top"/>
    </xf>
    <xf numFmtId="0" fontId="26" fillId="5" borderId="0" xfId="2" applyFont="1" applyFill="1" applyAlignment="1">
      <alignment horizontal="left" vertical="top"/>
    </xf>
    <xf numFmtId="0" fontId="23" fillId="5" borderId="0" xfId="2" applyFont="1" applyFill="1" applyAlignment="1">
      <alignment horizontal="left" vertical="top"/>
    </xf>
    <xf numFmtId="0" fontId="23" fillId="0" borderId="0" xfId="2" applyFont="1" applyAlignment="1">
      <alignment vertical="top"/>
    </xf>
    <xf numFmtId="0" fontId="28" fillId="5" borderId="0" xfId="0" applyFont="1" applyFill="1" applyAlignment="1">
      <alignment vertical="top"/>
    </xf>
    <xf numFmtId="0" fontId="26" fillId="4" borderId="0" xfId="0" applyFont="1" applyFill="1" applyAlignment="1">
      <alignment horizontal="left" vertical="center"/>
    </xf>
    <xf numFmtId="0" fontId="26" fillId="4" borderId="0" xfId="0" applyFont="1" applyFill="1" applyAlignment="1">
      <alignment vertical="center"/>
    </xf>
    <xf numFmtId="0" fontId="26" fillId="4" borderId="0" xfId="0" applyFont="1" applyFill="1" applyAlignment="1">
      <alignment horizontal="left" vertical="center" wrapText="1"/>
    </xf>
    <xf numFmtId="0" fontId="26" fillId="4" borderId="0" xfId="0" applyFont="1" applyFill="1" applyAlignment="1">
      <alignment vertical="center" wrapText="1"/>
    </xf>
    <xf numFmtId="0" fontId="36" fillId="4" borderId="0" xfId="0" applyFont="1" applyFill="1" applyAlignment="1">
      <alignment horizontal="left" vertical="center"/>
    </xf>
    <xf numFmtId="0" fontId="28" fillId="2" borderId="0" xfId="0" applyFont="1" applyFill="1" applyAlignment="1">
      <alignment horizontal="left" vertical="top" wrapText="1"/>
    </xf>
    <xf numFmtId="0" fontId="21" fillId="3" borderId="0" xfId="0" applyFont="1" applyFill="1"/>
    <xf numFmtId="0" fontId="21" fillId="0" borderId="0" xfId="0" applyFont="1"/>
    <xf numFmtId="0" fontId="21" fillId="0" borderId="1" xfId="0" applyFont="1" applyBorder="1" applyAlignment="1">
      <alignment horizontal="left" vertical="top"/>
    </xf>
    <xf numFmtId="0" fontId="21" fillId="0" borderId="1" xfId="0" applyFont="1" applyBorder="1"/>
    <xf numFmtId="0" fontId="36" fillId="4" borderId="1" xfId="0" applyFont="1" applyFill="1" applyBorder="1"/>
    <xf numFmtId="0" fontId="21" fillId="4" borderId="1" xfId="0" applyFont="1" applyFill="1" applyBorder="1"/>
    <xf numFmtId="0" fontId="27" fillId="4" borderId="0" xfId="1" applyFont="1" applyFill="1" applyBorder="1"/>
    <xf numFmtId="0" fontId="21" fillId="4" borderId="1" xfId="0" applyFont="1" applyFill="1" applyBorder="1" applyAlignment="1">
      <alignment horizontal="left" vertical="top"/>
    </xf>
    <xf numFmtId="0" fontId="27" fillId="4" borderId="1" xfId="1" applyFont="1" applyFill="1" applyBorder="1"/>
    <xf numFmtId="0" fontId="21" fillId="4" borderId="3" xfId="0" applyFont="1" applyFill="1" applyBorder="1"/>
    <xf numFmtId="0" fontId="27" fillId="0" borderId="0" xfId="1" applyFont="1" applyAlignment="1">
      <alignment wrapText="1"/>
    </xf>
    <xf numFmtId="0" fontId="21" fillId="0" borderId="1" xfId="0" applyFont="1" applyBorder="1" applyAlignment="1">
      <alignment horizontal="left" vertical="top" wrapText="1"/>
    </xf>
    <xf numFmtId="0" fontId="27" fillId="0" borderId="3" xfId="1" applyFont="1" applyBorder="1" applyAlignment="1">
      <alignment vertical="top" wrapText="1"/>
    </xf>
    <xf numFmtId="0" fontId="27" fillId="0" borderId="4" xfId="1" applyFont="1" applyBorder="1" applyAlignment="1">
      <alignment vertical="top" wrapText="1"/>
    </xf>
    <xf numFmtId="0" fontId="21" fillId="0" borderId="1" xfId="0" applyFont="1" applyBorder="1" applyAlignment="1">
      <alignment horizontal="left"/>
    </xf>
    <xf numFmtId="14" fontId="21" fillId="3" borderId="0" xfId="0" applyNumberFormat="1" applyFont="1" applyFill="1" applyAlignment="1">
      <alignment horizontal="right"/>
    </xf>
    <xf numFmtId="0" fontId="37" fillId="0" borderId="1" xfId="1" applyFont="1" applyBorder="1"/>
    <xf numFmtId="0" fontId="37" fillId="3" borderId="0" xfId="0" applyFont="1" applyFill="1"/>
    <xf numFmtId="0" fontId="37" fillId="0" borderId="1" xfId="0" applyFont="1" applyBorder="1"/>
    <xf numFmtId="0" fontId="22" fillId="0" borderId="1" xfId="1" applyBorder="1"/>
    <xf numFmtId="0" fontId="27" fillId="0" borderId="0" xfId="1" applyFont="1" applyFill="1" applyBorder="1" applyAlignment="1">
      <alignment vertical="top"/>
    </xf>
    <xf numFmtId="0" fontId="31" fillId="0" borderId="0" xfId="2" applyFont="1" applyAlignment="1">
      <alignment vertical="top"/>
    </xf>
    <xf numFmtId="0" fontId="23" fillId="0" borderId="0" xfId="2" applyFont="1"/>
    <xf numFmtId="0" fontId="28" fillId="0" borderId="0" xfId="2" applyFont="1" applyAlignment="1">
      <alignment vertical="top"/>
    </xf>
    <xf numFmtId="0" fontId="28" fillId="0" borderId="0" xfId="2" applyFont="1" applyAlignment="1">
      <alignment horizontal="left" vertical="top" wrapText="1"/>
    </xf>
    <xf numFmtId="0" fontId="23" fillId="0" borderId="0" xfId="0" applyFont="1" applyAlignment="1">
      <alignment horizontal="left" vertical="top"/>
    </xf>
    <xf numFmtId="0" fontId="28" fillId="5" borderId="0" xfId="2" applyFont="1" applyFill="1" applyAlignment="1">
      <alignment horizontal="left" vertical="top"/>
    </xf>
    <xf numFmtId="0" fontId="27" fillId="0" borderId="0" xfId="1" applyFont="1" applyFill="1" applyBorder="1"/>
    <xf numFmtId="0" fontId="23" fillId="0" borderId="0" xfId="2" applyFont="1" applyAlignment="1">
      <alignment horizontal="left" vertical="top"/>
    </xf>
    <xf numFmtId="0" fontId="23" fillId="0" borderId="0" xfId="1" applyFont="1" applyFill="1" applyBorder="1" applyAlignment="1">
      <alignment horizontal="left" vertical="top"/>
    </xf>
    <xf numFmtId="0" fontId="27" fillId="5" borderId="0" xfId="1" applyFont="1" applyFill="1" applyBorder="1" applyAlignment="1">
      <alignment horizontal="left" vertical="top"/>
    </xf>
    <xf numFmtId="0" fontId="23" fillId="4" borderId="0" xfId="0" applyFont="1" applyFill="1" applyAlignment="1">
      <alignment horizontal="left" vertical="top"/>
    </xf>
    <xf numFmtId="0" fontId="27" fillId="0" borderId="1" xfId="1" applyFont="1" applyFill="1" applyBorder="1"/>
    <xf numFmtId="0" fontId="23" fillId="0" borderId="6" xfId="2" applyFont="1" applyBorder="1" applyAlignment="1">
      <alignment horizontal="left" vertical="top" wrapText="1"/>
    </xf>
    <xf numFmtId="0" fontId="23" fillId="0" borderId="6" xfId="0" applyFont="1" applyBorder="1" applyAlignment="1">
      <alignment horizontal="left" vertical="top" wrapText="1"/>
    </xf>
    <xf numFmtId="49" fontId="23" fillId="0" borderId="6" xfId="2" applyNumberFormat="1" applyFont="1" applyBorder="1" applyAlignment="1">
      <alignment horizontal="left" vertical="top" wrapText="1"/>
    </xf>
    <xf numFmtId="0" fontId="27" fillId="0" borderId="6" xfId="1" applyFont="1" applyBorder="1" applyAlignment="1">
      <alignment horizontal="left" vertical="top" wrapText="1"/>
    </xf>
    <xf numFmtId="0" fontId="23" fillId="0" borderId="6" xfId="2" applyFont="1" applyBorder="1" applyAlignment="1">
      <alignment vertical="top" wrapText="1"/>
    </xf>
    <xf numFmtId="0" fontId="23" fillId="0" borderId="6" xfId="0" applyFont="1" applyBorder="1" applyAlignment="1">
      <alignment vertical="top" wrapText="1"/>
    </xf>
    <xf numFmtId="0" fontId="31" fillId="0" borderId="6" xfId="0" applyFont="1" applyBorder="1" applyAlignment="1">
      <alignment horizontal="left" vertical="top" wrapText="1"/>
    </xf>
    <xf numFmtId="49" fontId="23" fillId="0" borderId="6" xfId="0" applyNumberFormat="1" applyFont="1" applyBorder="1" applyAlignment="1">
      <alignment horizontal="left" vertical="top" wrapText="1"/>
    </xf>
    <xf numFmtId="49" fontId="23" fillId="0" borderId="6" xfId="0" applyNumberFormat="1" applyFont="1" applyBorder="1" applyAlignment="1">
      <alignment vertical="top" wrapText="1"/>
    </xf>
    <xf numFmtId="0" fontId="40" fillId="0" borderId="6" xfId="1" applyFont="1" applyBorder="1" applyAlignment="1">
      <alignment horizontal="left" vertical="top" wrapText="1"/>
    </xf>
    <xf numFmtId="0" fontId="23" fillId="0" borderId="7" xfId="2" applyFont="1" applyBorder="1" applyAlignment="1">
      <alignment horizontal="left" vertical="top" wrapText="1"/>
    </xf>
    <xf numFmtId="0" fontId="26" fillId="5" borderId="5" xfId="2" applyFont="1" applyFill="1" applyBorder="1" applyAlignment="1">
      <alignment horizontal="left" vertical="top" wrapText="1"/>
    </xf>
    <xf numFmtId="0" fontId="23" fillId="0" borderId="7" xfId="0" applyFont="1" applyBorder="1" applyAlignment="1">
      <alignment horizontal="left" vertical="top" wrapText="1"/>
    </xf>
    <xf numFmtId="0" fontId="23" fillId="5" borderId="0" xfId="2" applyFont="1" applyFill="1" applyAlignment="1">
      <alignment vertical="top"/>
    </xf>
    <xf numFmtId="0" fontId="27" fillId="0" borderId="0" xfId="1" applyFont="1" applyFill="1" applyAlignment="1">
      <alignment vertical="top"/>
    </xf>
    <xf numFmtId="0" fontId="19" fillId="0" borderId="6" xfId="0" applyFont="1" applyBorder="1" applyAlignment="1">
      <alignment horizontal="left" vertical="top" wrapText="1"/>
    </xf>
    <xf numFmtId="49" fontId="19" fillId="0" borderId="6" xfId="0" applyNumberFormat="1" applyFont="1" applyBorder="1" applyAlignment="1">
      <alignment horizontal="left" vertical="top" wrapText="1"/>
    </xf>
    <xf numFmtId="0" fontId="19" fillId="0" borderId="0" xfId="0" applyFont="1"/>
    <xf numFmtId="0" fontId="23" fillId="0" borderId="0" xfId="0" applyFont="1"/>
    <xf numFmtId="0" fontId="19" fillId="5" borderId="0" xfId="2" applyFont="1" applyFill="1" applyAlignment="1">
      <alignment vertical="top"/>
    </xf>
    <xf numFmtId="0" fontId="28" fillId="6" borderId="5" xfId="2" applyFont="1" applyFill="1" applyBorder="1" applyAlignment="1">
      <alignment wrapText="1"/>
    </xf>
    <xf numFmtId="0" fontId="28" fillId="5" borderId="5" xfId="2" applyFont="1" applyFill="1" applyBorder="1" applyAlignment="1">
      <alignment vertical="top"/>
    </xf>
    <xf numFmtId="0" fontId="28" fillId="5" borderId="5" xfId="2" applyFont="1" applyFill="1" applyBorder="1" applyAlignment="1">
      <alignment horizontal="left" vertical="top" wrapText="1"/>
    </xf>
    <xf numFmtId="0" fontId="19" fillId="0" borderId="0" xfId="0" applyFont="1" applyAlignment="1">
      <alignment horizontal="center"/>
    </xf>
    <xf numFmtId="0" fontId="23" fillId="0" borderId="6" xfId="0" applyFont="1" applyBorder="1" applyAlignment="1">
      <alignment horizontal="left" vertical="top"/>
    </xf>
    <xf numFmtId="0" fontId="23" fillId="0" borderId="6" xfId="0" applyFont="1" applyBorder="1" applyAlignment="1">
      <alignment vertical="top"/>
    </xf>
    <xf numFmtId="0" fontId="23" fillId="0" borderId="8" xfId="0" applyFont="1" applyBorder="1" applyAlignment="1">
      <alignment vertical="top" wrapText="1"/>
    </xf>
    <xf numFmtId="0" fontId="23" fillId="0" borderId="8" xfId="0" applyFont="1" applyBorder="1" applyAlignment="1">
      <alignment horizontal="left" vertical="top"/>
    </xf>
    <xf numFmtId="0" fontId="28" fillId="5" borderId="5" xfId="2" applyFont="1" applyFill="1" applyBorder="1" applyAlignment="1">
      <alignment horizontal="left" vertical="top"/>
    </xf>
    <xf numFmtId="0" fontId="23" fillId="0" borderId="0" xfId="0" applyFont="1" applyAlignment="1">
      <alignment horizontal="center" vertical="top"/>
    </xf>
    <xf numFmtId="0" fontId="23" fillId="0" borderId="6" xfId="0" applyFont="1" applyBorder="1" applyAlignment="1">
      <alignment horizontal="center" vertical="top"/>
    </xf>
    <xf numFmtId="49" fontId="23" fillId="0" borderId="6" xfId="0" applyNumberFormat="1" applyFont="1" applyBorder="1" applyAlignment="1">
      <alignment horizontal="left" vertical="top"/>
    </xf>
    <xf numFmtId="49" fontId="23" fillId="0" borderId="6" xfId="6" applyNumberFormat="1" applyFont="1" applyBorder="1" applyAlignment="1">
      <alignment horizontal="left" vertical="top"/>
    </xf>
    <xf numFmtId="0" fontId="28" fillId="6" borderId="5" xfId="2" applyFont="1" applyFill="1" applyBorder="1" applyAlignment="1">
      <alignment horizontal="left" vertical="top" wrapText="1"/>
    </xf>
    <xf numFmtId="0" fontId="23" fillId="0" borderId="8" xfId="0" applyFont="1" applyBorder="1" applyAlignment="1">
      <alignment horizontal="left" vertical="top" wrapText="1"/>
    </xf>
    <xf numFmtId="0" fontId="23" fillId="0" borderId="8" xfId="0" applyFont="1" applyBorder="1" applyAlignment="1">
      <alignment horizontal="center" vertical="top"/>
    </xf>
    <xf numFmtId="0" fontId="45" fillId="0" borderId="6" xfId="0" applyFont="1" applyBorder="1" applyAlignment="1">
      <alignment vertical="top" wrapText="1"/>
    </xf>
    <xf numFmtId="0" fontId="45" fillId="0" borderId="8" xfId="0" applyFont="1" applyBorder="1" applyAlignment="1">
      <alignment vertical="top" wrapText="1"/>
    </xf>
    <xf numFmtId="0" fontId="23" fillId="0" borderId="0" xfId="2" applyFont="1" applyAlignment="1">
      <alignment horizontal="left" vertical="top" wrapText="1"/>
    </xf>
    <xf numFmtId="0" fontId="20" fillId="0" borderId="6" xfId="0" applyFont="1" applyBorder="1" applyAlignment="1">
      <alignment wrapText="1"/>
    </xf>
    <xf numFmtId="0" fontId="18" fillId="0" borderId="0" xfId="0" applyFont="1"/>
    <xf numFmtId="0" fontId="28" fillId="6" borderId="10" xfId="2" applyFont="1" applyFill="1" applyBorder="1" applyAlignment="1">
      <alignment horizontal="left" vertical="top" wrapText="1"/>
    </xf>
    <xf numFmtId="0" fontId="28" fillId="5" borderId="10" xfId="2" applyFont="1" applyFill="1" applyBorder="1" applyAlignment="1">
      <alignment horizontal="left" vertical="top" wrapText="1"/>
    </xf>
    <xf numFmtId="0" fontId="18" fillId="0" borderId="0" xfId="0" applyFont="1" applyAlignment="1">
      <alignment horizontal="center"/>
    </xf>
    <xf numFmtId="0" fontId="31" fillId="0" borderId="6" xfId="0" applyFont="1" applyBorder="1" applyAlignment="1">
      <alignment horizontal="left" vertical="top"/>
    </xf>
    <xf numFmtId="0" fontId="31" fillId="0" borderId="6" xfId="0" applyFont="1" applyBorder="1" applyAlignment="1">
      <alignment wrapText="1"/>
    </xf>
    <xf numFmtId="0" fontId="28" fillId="5" borderId="5" xfId="2" applyFont="1" applyFill="1" applyBorder="1" applyAlignment="1">
      <alignment horizontal="center" vertical="top" wrapText="1"/>
    </xf>
    <xf numFmtId="0" fontId="28" fillId="5" borderId="5" xfId="2" applyFont="1" applyFill="1" applyBorder="1" applyAlignment="1">
      <alignment vertical="top" wrapText="1"/>
    </xf>
    <xf numFmtId="0" fontId="14" fillId="0" borderId="0" xfId="0" applyFont="1"/>
    <xf numFmtId="0" fontId="14" fillId="0" borderId="6" xfId="0" applyFont="1" applyBorder="1" applyAlignment="1">
      <alignment wrapText="1"/>
    </xf>
    <xf numFmtId="0" fontId="13" fillId="0" borderId="6" xfId="0" applyFont="1" applyBorder="1" applyAlignment="1">
      <alignment horizontal="left" vertical="top" wrapText="1"/>
    </xf>
    <xf numFmtId="0" fontId="22" fillId="0" borderId="6" xfId="1" applyFill="1" applyBorder="1" applyAlignment="1">
      <alignment horizontal="left" vertical="top" wrapText="1"/>
    </xf>
    <xf numFmtId="0" fontId="22" fillId="0" borderId="6" xfId="1" applyBorder="1" applyAlignment="1">
      <alignment horizontal="left" vertical="top" wrapText="1"/>
    </xf>
    <xf numFmtId="0" fontId="13" fillId="3" borderId="6" xfId="0" applyFont="1" applyFill="1" applyBorder="1" applyAlignment="1">
      <alignment horizontal="left" vertical="top" wrapText="1"/>
    </xf>
    <xf numFmtId="0" fontId="12" fillId="0" borderId="6" xfId="0" applyFont="1" applyBorder="1" applyAlignment="1">
      <alignment horizontal="left" vertical="top" wrapText="1"/>
    </xf>
    <xf numFmtId="0" fontId="12" fillId="0" borderId="6" xfId="4" applyFont="1" applyBorder="1" applyAlignment="1">
      <alignment vertical="top" wrapText="1"/>
    </xf>
    <xf numFmtId="0" fontId="11" fillId="0" borderId="6" xfId="0" applyFont="1" applyBorder="1" applyAlignment="1">
      <alignment horizontal="left" vertical="top" wrapText="1"/>
    </xf>
    <xf numFmtId="0" fontId="28" fillId="5" borderId="5" xfId="0" applyFont="1" applyFill="1" applyBorder="1" applyAlignment="1">
      <alignment horizontal="left" vertical="top"/>
    </xf>
    <xf numFmtId="0" fontId="23" fillId="0" borderId="5" xfId="0" applyFont="1" applyBorder="1" applyAlignment="1">
      <alignment vertical="top" wrapText="1"/>
    </xf>
    <xf numFmtId="0" fontId="23" fillId="0" borderId="5" xfId="5" applyFont="1" applyBorder="1" applyAlignment="1">
      <alignment vertical="top" wrapText="1"/>
    </xf>
    <xf numFmtId="0" fontId="23" fillId="0" borderId="5" xfId="0" applyFont="1" applyBorder="1" applyAlignment="1">
      <alignment horizontal="left" vertical="top" wrapText="1"/>
    </xf>
    <xf numFmtId="0" fontId="23" fillId="0" borderId="5" xfId="0" applyFont="1" applyBorder="1" applyAlignment="1">
      <alignment horizontal="left" vertical="top"/>
    </xf>
    <xf numFmtId="0" fontId="28" fillId="6" borderId="5" xfId="2" applyFont="1" applyFill="1" applyBorder="1" applyAlignment="1">
      <alignment vertical="top" wrapText="1"/>
    </xf>
    <xf numFmtId="0" fontId="9" fillId="0" borderId="0" xfId="0" applyFont="1"/>
    <xf numFmtId="0" fontId="23" fillId="0" borderId="5" xfId="0" applyFont="1" applyBorder="1" applyAlignment="1">
      <alignment vertical="top"/>
    </xf>
    <xf numFmtId="0" fontId="37" fillId="0" borderId="5" xfId="0" applyFont="1" applyBorder="1" applyAlignment="1">
      <alignment vertical="top" wrapText="1"/>
    </xf>
    <xf numFmtId="0" fontId="42" fillId="0" borderId="5" xfId="0" applyFont="1" applyBorder="1" applyAlignment="1">
      <alignment vertical="top"/>
    </xf>
    <xf numFmtId="0" fontId="41" fillId="0" borderId="5" xfId="0" applyFont="1" applyBorder="1" applyAlignment="1">
      <alignment vertical="top" wrapText="1"/>
    </xf>
    <xf numFmtId="0" fontId="19" fillId="0" borderId="5" xfId="0" applyFont="1" applyBorder="1" applyAlignment="1">
      <alignment vertical="top"/>
    </xf>
    <xf numFmtId="0" fontId="19" fillId="0" borderId="5" xfId="0" applyFont="1" applyBorder="1" applyAlignment="1">
      <alignment horizontal="center" vertical="top"/>
    </xf>
    <xf numFmtId="20" fontId="23" fillId="0" borderId="5" xfId="0" applyNumberFormat="1" applyFont="1" applyBorder="1" applyAlignment="1">
      <alignment horizontal="left" vertical="top" wrapText="1"/>
    </xf>
    <xf numFmtId="0" fontId="19" fillId="0" borderId="5" xfId="0" applyFont="1" applyBorder="1" applyAlignment="1">
      <alignment vertical="top" wrapText="1"/>
    </xf>
    <xf numFmtId="0" fontId="15" fillId="0" borderId="5" xfId="0" applyFont="1" applyBorder="1" applyAlignment="1">
      <alignment vertical="top" wrapText="1"/>
    </xf>
    <xf numFmtId="0" fontId="18" fillId="0" borderId="5" xfId="0" applyFont="1" applyBorder="1" applyAlignment="1">
      <alignment vertical="top" wrapText="1"/>
    </xf>
    <xf numFmtId="0" fontId="10" fillId="0" borderId="5" xfId="0" applyFont="1" applyBorder="1" applyAlignment="1">
      <alignment vertical="top" wrapText="1"/>
    </xf>
    <xf numFmtId="49" fontId="19" fillId="0" borderId="5" xfId="0" applyNumberFormat="1" applyFont="1" applyBorder="1" applyAlignment="1">
      <alignment vertical="top" wrapText="1"/>
    </xf>
    <xf numFmtId="0" fontId="46" fillId="0" borderId="5" xfId="0" applyFont="1" applyBorder="1" applyAlignment="1">
      <alignment vertical="top" wrapText="1"/>
    </xf>
    <xf numFmtId="0" fontId="19" fillId="0" borderId="5" xfId="0" applyFont="1" applyBorder="1" applyAlignment="1">
      <alignment horizontal="left" vertical="top" wrapText="1"/>
    </xf>
    <xf numFmtId="0" fontId="26" fillId="0" borderId="5" xfId="0" applyFont="1" applyBorder="1" applyAlignment="1">
      <alignment vertical="top" wrapText="1"/>
    </xf>
    <xf numFmtId="0" fontId="16" fillId="0" borderId="5" xfId="0" applyFont="1" applyBorder="1" applyAlignment="1">
      <alignment vertical="top" wrapText="1"/>
    </xf>
    <xf numFmtId="0" fontId="14" fillId="0" borderId="5" xfId="0" applyFont="1" applyBorder="1" applyAlignment="1">
      <alignment vertical="top"/>
    </xf>
    <xf numFmtId="0" fontId="14" fillId="0" borderId="5" xfId="0" applyFont="1" applyBorder="1" applyAlignment="1">
      <alignment horizontal="center" vertical="top"/>
    </xf>
    <xf numFmtId="0" fontId="14" fillId="0" borderId="5" xfId="0" applyFont="1" applyBorder="1" applyAlignment="1">
      <alignment vertical="top" wrapText="1"/>
    </xf>
    <xf numFmtId="0" fontId="9" fillId="0" borderId="5" xfId="0" applyFont="1" applyBorder="1" applyAlignment="1">
      <alignment vertical="top" wrapText="1"/>
    </xf>
    <xf numFmtId="49" fontId="14" fillId="0" borderId="5" xfId="0" applyNumberFormat="1" applyFont="1" applyBorder="1" applyAlignment="1">
      <alignment vertical="top" wrapText="1"/>
    </xf>
    <xf numFmtId="0" fontId="14" fillId="0" borderId="5" xfId="0" applyFont="1" applyBorder="1" applyAlignment="1">
      <alignment horizontal="left" vertical="top" wrapText="1"/>
    </xf>
    <xf numFmtId="0" fontId="32" fillId="0" borderId="5" xfId="0" applyFont="1" applyBorder="1" applyAlignment="1">
      <alignment vertical="top" wrapText="1"/>
    </xf>
    <xf numFmtId="0" fontId="19" fillId="0" borderId="0" xfId="2" applyFont="1" applyAlignment="1">
      <alignment vertical="top"/>
    </xf>
    <xf numFmtId="0" fontId="22" fillId="5" borderId="0" xfId="1" applyFill="1" applyBorder="1" applyAlignment="1">
      <alignment horizontal="left" vertical="top"/>
    </xf>
    <xf numFmtId="0" fontId="19" fillId="0" borderId="5" xfId="0" applyFont="1" applyBorder="1"/>
    <xf numFmtId="0" fontId="19" fillId="0" borderId="5" xfId="0" applyFont="1" applyBorder="1" applyAlignment="1">
      <alignment horizontal="center"/>
    </xf>
    <xf numFmtId="49" fontId="23" fillId="0" borderId="5" xfId="5" applyNumberFormat="1" applyFont="1" applyBorder="1" applyAlignment="1">
      <alignment vertical="top" wrapText="1"/>
    </xf>
    <xf numFmtId="49" fontId="23" fillId="0" borderId="5" xfId="5" applyNumberFormat="1" applyFont="1" applyBorder="1" applyAlignment="1">
      <alignment horizontal="left" vertical="top" wrapText="1"/>
    </xf>
    <xf numFmtId="49" fontId="23" fillId="0" borderId="5" xfId="0" applyNumberFormat="1" applyFont="1" applyBorder="1" applyAlignment="1">
      <alignment vertical="top" wrapText="1"/>
    </xf>
    <xf numFmtId="49" fontId="23" fillId="0" borderId="5" xfId="5" applyNumberFormat="1" applyFont="1" applyBorder="1" applyAlignment="1">
      <alignment horizontal="justify" vertical="top" wrapText="1"/>
    </xf>
    <xf numFmtId="0" fontId="23" fillId="0" borderId="5" xfId="5" applyFont="1" applyBorder="1"/>
    <xf numFmtId="16" fontId="23" fillId="0" borderId="5" xfId="0" applyNumberFormat="1" applyFont="1" applyBorder="1" applyAlignment="1">
      <alignment vertical="top" wrapText="1"/>
    </xf>
    <xf numFmtId="17" fontId="23" fillId="0" borderId="5" xfId="0" applyNumberFormat="1" applyFont="1" applyBorder="1" applyAlignment="1">
      <alignment vertical="top" wrapText="1"/>
    </xf>
    <xf numFmtId="17" fontId="23" fillId="0" borderId="5" xfId="0" applyNumberFormat="1" applyFont="1" applyBorder="1" applyAlignment="1">
      <alignment vertical="top"/>
    </xf>
    <xf numFmtId="49" fontId="23" fillId="0" borderId="5" xfId="0" applyNumberFormat="1" applyFont="1" applyBorder="1" applyAlignment="1">
      <alignment vertical="top"/>
    </xf>
    <xf numFmtId="0" fontId="23" fillId="0" borderId="5" xfId="5" applyFont="1" applyBorder="1" applyAlignment="1">
      <alignment horizontal="left" vertical="top" wrapText="1"/>
    </xf>
    <xf numFmtId="20" fontId="23" fillId="0" borderId="5" xfId="0" applyNumberFormat="1" applyFont="1" applyBorder="1" applyAlignment="1">
      <alignment vertical="top" wrapText="1"/>
    </xf>
    <xf numFmtId="1" fontId="23" fillId="0" borderId="5" xfId="0" quotePrefix="1" applyNumberFormat="1" applyFont="1" applyBorder="1" applyAlignment="1">
      <alignment horizontal="left" vertical="top" wrapText="1"/>
    </xf>
    <xf numFmtId="17" fontId="23" fillId="0" borderId="5" xfId="0" applyNumberFormat="1" applyFont="1" applyBorder="1" applyAlignment="1">
      <alignment horizontal="left" vertical="top" wrapText="1"/>
    </xf>
    <xf numFmtId="0" fontId="23" fillId="0" borderId="14" xfId="0" applyFont="1" applyBorder="1" applyAlignment="1">
      <alignment horizontal="left" vertical="top"/>
    </xf>
    <xf numFmtId="0" fontId="23" fillId="0" borderId="14" xfId="0" applyFont="1" applyBorder="1" applyAlignment="1">
      <alignment horizontal="center" vertical="top"/>
    </xf>
    <xf numFmtId="0" fontId="23" fillId="0" borderId="14" xfId="0" applyFont="1" applyBorder="1" applyAlignment="1">
      <alignment horizontal="left" vertical="top" wrapText="1"/>
    </xf>
    <xf numFmtId="0" fontId="23" fillId="0" borderId="14" xfId="1" applyFont="1" applyBorder="1" applyAlignment="1" applyProtection="1">
      <alignment horizontal="left" vertical="top" wrapText="1"/>
    </xf>
    <xf numFmtId="49" fontId="23" fillId="0" borderId="14" xfId="0" applyNumberFormat="1" applyFont="1" applyBorder="1" applyAlignment="1">
      <alignment horizontal="left" vertical="top"/>
    </xf>
    <xf numFmtId="49" fontId="23" fillId="0" borderId="14" xfId="6" applyNumberFormat="1" applyFont="1" applyBorder="1" applyAlignment="1">
      <alignment horizontal="left" vertical="top"/>
    </xf>
    <xf numFmtId="49" fontId="23" fillId="0" borderId="14" xfId="0" applyNumberFormat="1" applyFont="1" applyBorder="1" applyAlignment="1">
      <alignment horizontal="left" vertical="top" wrapText="1"/>
    </xf>
    <xf numFmtId="17" fontId="23" fillId="0" borderId="14" xfId="0" applyNumberFormat="1" applyFont="1" applyBorder="1" applyAlignment="1">
      <alignment horizontal="left" vertical="top" wrapText="1"/>
    </xf>
    <xf numFmtId="49" fontId="23" fillId="0" borderId="14" xfId="6" applyNumberFormat="1" applyFont="1" applyBorder="1" applyAlignment="1">
      <alignment horizontal="left" vertical="top" wrapText="1"/>
    </xf>
    <xf numFmtId="0" fontId="14" fillId="0" borderId="14" xfId="0" applyFont="1" applyBorder="1" applyAlignment="1">
      <alignment wrapText="1"/>
    </xf>
    <xf numFmtId="0" fontId="20" fillId="0" borderId="14" xfId="0" applyFont="1" applyBorder="1" applyAlignment="1">
      <alignment wrapText="1"/>
    </xf>
    <xf numFmtId="0" fontId="23" fillId="0" borderId="14" xfId="0" applyFont="1" applyBorder="1" applyAlignment="1">
      <alignment vertical="top"/>
    </xf>
    <xf numFmtId="0" fontId="23" fillId="0" borderId="14" xfId="0" applyFont="1" applyBorder="1" applyAlignment="1">
      <alignment vertical="top" wrapText="1"/>
    </xf>
    <xf numFmtId="0" fontId="23" fillId="0" borderId="14" xfId="1" applyFont="1" applyFill="1" applyBorder="1" applyAlignment="1" applyProtection="1">
      <alignment vertical="top" wrapText="1"/>
    </xf>
    <xf numFmtId="0" fontId="17" fillId="0" borderId="14" xfId="0" applyFont="1" applyBorder="1" applyAlignment="1">
      <alignment vertical="top"/>
    </xf>
    <xf numFmtId="0" fontId="8" fillId="0" borderId="14" xfId="0" applyFont="1" applyBorder="1" applyAlignment="1">
      <alignment vertical="top"/>
    </xf>
    <xf numFmtId="0" fontId="22" fillId="0" borderId="0" xfId="1" applyFill="1" applyBorder="1"/>
    <xf numFmtId="0" fontId="18" fillId="0" borderId="14" xfId="0" applyFont="1" applyBorder="1"/>
    <xf numFmtId="0" fontId="18" fillId="0" borderId="14" xfId="0" applyFont="1" applyBorder="1" applyAlignment="1">
      <alignment horizontal="center"/>
    </xf>
    <xf numFmtId="0" fontId="23" fillId="0" borderId="14" xfId="0" applyFont="1" applyBorder="1"/>
    <xf numFmtId="0" fontId="23" fillId="0" borderId="14" xfId="0" applyFont="1" applyBorder="1" applyAlignment="1">
      <alignment vertical="center"/>
    </xf>
    <xf numFmtId="0" fontId="47" fillId="0" borderId="14" xfId="0" applyFont="1" applyBorder="1" applyAlignment="1">
      <alignment vertical="center"/>
    </xf>
    <xf numFmtId="0" fontId="47" fillId="0" borderId="14" xfId="0" applyFont="1" applyBorder="1"/>
    <xf numFmtId="0" fontId="26" fillId="0" borderId="14" xfId="0" applyFont="1" applyBorder="1"/>
    <xf numFmtId="0" fontId="23" fillId="0" borderId="14" xfId="0" applyFont="1" applyBorder="1" applyAlignment="1">
      <alignment wrapText="1"/>
    </xf>
    <xf numFmtId="0" fontId="28" fillId="0" borderId="14" xfId="0" applyFont="1" applyBorder="1" applyAlignment="1">
      <alignment wrapText="1"/>
    </xf>
    <xf numFmtId="0" fontId="37" fillId="0" borderId="14" xfId="0" applyFont="1" applyBorder="1"/>
    <xf numFmtId="0" fontId="42" fillId="0" borderId="6" xfId="0" applyFont="1" applyBorder="1" applyAlignment="1">
      <alignment horizontal="center" vertical="top"/>
    </xf>
    <xf numFmtId="0" fontId="42" fillId="0" borderId="6" xfId="0" applyFont="1" applyBorder="1" applyAlignment="1">
      <alignment vertical="top"/>
    </xf>
    <xf numFmtId="0" fontId="42" fillId="0" borderId="6" xfId="0" applyFont="1" applyBorder="1" applyAlignment="1">
      <alignment vertical="top" wrapText="1"/>
    </xf>
    <xf numFmtId="0" fontId="42" fillId="0" borderId="6" xfId="0" applyFont="1" applyBorder="1" applyAlignment="1">
      <alignment horizontal="left" vertical="top" wrapText="1"/>
    </xf>
    <xf numFmtId="49" fontId="23" fillId="0" borderId="6" xfId="6" applyNumberFormat="1" applyFont="1" applyBorder="1" applyAlignment="1">
      <alignment horizontal="left" vertical="top" wrapText="1"/>
    </xf>
    <xf numFmtId="17" fontId="23" fillId="0" borderId="6" xfId="0" quotePrefix="1" applyNumberFormat="1" applyFont="1" applyBorder="1" applyAlignment="1">
      <alignment horizontal="left" vertical="top"/>
    </xf>
    <xf numFmtId="0" fontId="23" fillId="0" borderId="6" xfId="0" quotePrefix="1" applyFont="1" applyBorder="1" applyAlignment="1">
      <alignment horizontal="left" vertical="top"/>
    </xf>
    <xf numFmtId="0" fontId="23" fillId="0" borderId="8" xfId="0" applyFont="1" applyBorder="1" applyAlignment="1">
      <alignment vertical="top"/>
    </xf>
    <xf numFmtId="17" fontId="23" fillId="0" borderId="14" xfId="0" quotePrefix="1" applyNumberFormat="1" applyFont="1" applyBorder="1" applyAlignment="1">
      <alignment horizontal="left" vertical="top"/>
    </xf>
    <xf numFmtId="0" fontId="23" fillId="0" borderId="14" xfId="0" quotePrefix="1" applyFont="1" applyBorder="1" applyAlignment="1">
      <alignment horizontal="left" vertical="top"/>
    </xf>
    <xf numFmtId="0" fontId="7" fillId="0" borderId="5" xfId="0" applyFont="1" applyBorder="1" applyAlignment="1">
      <alignment vertical="top" wrapText="1"/>
    </xf>
    <xf numFmtId="0" fontId="22" fillId="0" borderId="1" xfId="1" applyFill="1" applyBorder="1" applyAlignment="1">
      <alignment horizontal="left" vertical="top"/>
    </xf>
    <xf numFmtId="0" fontId="6" fillId="0" borderId="6" xfId="0" applyFont="1" applyBorder="1" applyAlignment="1">
      <alignment horizontal="left" vertical="top" wrapText="1"/>
    </xf>
    <xf numFmtId="0" fontId="50" fillId="0" borderId="6" xfId="0" applyFont="1" applyBorder="1" applyAlignment="1">
      <alignment horizontal="left" vertical="top" wrapText="1"/>
    </xf>
    <xf numFmtId="0" fontId="50" fillId="0" borderId="0" xfId="0" applyFont="1"/>
    <xf numFmtId="0" fontId="51" fillId="0" borderId="6" xfId="1" applyFont="1" applyBorder="1" applyAlignment="1">
      <alignment horizontal="left" vertical="top" wrapText="1"/>
    </xf>
    <xf numFmtId="0" fontId="5" fillId="0" borderId="6" xfId="0" applyFont="1" applyBorder="1" applyAlignment="1">
      <alignment horizontal="left" vertical="top" wrapText="1"/>
    </xf>
    <xf numFmtId="0" fontId="23" fillId="5" borderId="0" xfId="2" applyFont="1" applyFill="1" applyAlignment="1">
      <alignment vertical="top" wrapText="1"/>
    </xf>
    <xf numFmtId="0" fontId="5" fillId="0" borderId="1" xfId="0" applyFont="1" applyBorder="1" applyAlignment="1">
      <alignment horizontal="left" vertical="top"/>
    </xf>
    <xf numFmtId="0" fontId="26" fillId="5" borderId="0" xfId="0" applyFont="1" applyFill="1"/>
    <xf numFmtId="0" fontId="0" fillId="5" borderId="0" xfId="0" applyFill="1"/>
    <xf numFmtId="0" fontId="52" fillId="0" borderId="0" xfId="0" applyFont="1"/>
    <xf numFmtId="0" fontId="52" fillId="0" borderId="0" xfId="0" applyFont="1" applyAlignment="1">
      <alignment wrapText="1"/>
    </xf>
    <xf numFmtId="0" fontId="4" fillId="0" borderId="1" xfId="0" applyFont="1" applyBorder="1" applyAlignment="1">
      <alignment horizontal="left" vertical="top"/>
    </xf>
    <xf numFmtId="0" fontId="4" fillId="0" borderId="1" xfId="0" applyFont="1" applyBorder="1"/>
    <xf numFmtId="0" fontId="3" fillId="0" borderId="1" xfId="0" applyFont="1" applyBorder="1"/>
    <xf numFmtId="0" fontId="2" fillId="0" borderId="6" xfId="0" applyFont="1" applyBorder="1" applyAlignment="1">
      <alignment horizontal="left" vertical="top" wrapText="1"/>
    </xf>
    <xf numFmtId="0" fontId="23" fillId="2" borderId="0" xfId="0" applyFont="1" applyFill="1" applyAlignment="1">
      <alignment horizontal="left" vertical="top" wrapText="1"/>
    </xf>
    <xf numFmtId="0" fontId="25" fillId="4" borderId="0" xfId="0" applyFont="1" applyFill="1" applyAlignment="1">
      <alignment horizontal="left" vertical="top" wrapText="1"/>
    </xf>
    <xf numFmtId="0" fontId="27" fillId="0" borderId="2" xfId="1" applyFont="1" applyBorder="1" applyAlignment="1">
      <alignment horizontal="left" vertical="center"/>
    </xf>
    <xf numFmtId="0" fontId="27" fillId="0" borderId="3" xfId="1" applyFont="1" applyBorder="1" applyAlignment="1">
      <alignment horizontal="left" vertical="center"/>
    </xf>
    <xf numFmtId="0" fontId="27" fillId="0" borderId="4" xfId="1" applyFont="1" applyBorder="1" applyAlignment="1">
      <alignment horizontal="left" vertical="center"/>
    </xf>
    <xf numFmtId="0" fontId="26" fillId="5" borderId="0" xfId="0" applyFont="1" applyFill="1" applyAlignment="1">
      <alignment horizontal="left"/>
    </xf>
    <xf numFmtId="0" fontId="26" fillId="5" borderId="5" xfId="0" applyFont="1" applyFill="1" applyBorder="1" applyAlignment="1">
      <alignment horizontal="left" vertical="top"/>
    </xf>
    <xf numFmtId="0" fontId="28" fillId="5" borderId="5" xfId="0" applyFont="1" applyFill="1" applyBorder="1" applyAlignment="1">
      <alignment horizontal="left" vertical="top"/>
    </xf>
    <xf numFmtId="0" fontId="28" fillId="5" borderId="5" xfId="2" applyFont="1" applyFill="1" applyBorder="1" applyAlignment="1">
      <alignment horizontal="left" vertical="top" wrapText="1"/>
    </xf>
    <xf numFmtId="0" fontId="28" fillId="5" borderId="5" xfId="0" applyFont="1" applyFill="1" applyBorder="1" applyAlignment="1">
      <alignment horizontal="left" vertical="top" wrapText="1"/>
    </xf>
    <xf numFmtId="0" fontId="26" fillId="5" borderId="13" xfId="0" applyFont="1" applyFill="1" applyBorder="1" applyAlignment="1">
      <alignment horizontal="left"/>
    </xf>
    <xf numFmtId="0" fontId="26" fillId="5" borderId="5" xfId="0" applyFont="1" applyFill="1" applyBorder="1" applyAlignment="1">
      <alignment horizontal="left"/>
    </xf>
    <xf numFmtId="0" fontId="28" fillId="5" borderId="9" xfId="2" applyFont="1" applyFill="1" applyBorder="1" applyAlignment="1">
      <alignment horizontal="left"/>
    </xf>
    <xf numFmtId="0" fontId="26" fillId="5" borderId="11" xfId="0" applyFont="1" applyFill="1" applyBorder="1" applyAlignment="1">
      <alignment horizontal="left"/>
    </xf>
    <xf numFmtId="0" fontId="26" fillId="5" borderId="12" xfId="0" applyFont="1" applyFill="1" applyBorder="1" applyAlignment="1">
      <alignment horizontal="left"/>
    </xf>
    <xf numFmtId="0" fontId="28" fillId="4" borderId="5" xfId="0" applyFont="1" applyFill="1" applyBorder="1" applyAlignment="1">
      <alignment horizontal="left"/>
    </xf>
    <xf numFmtId="0" fontId="28" fillId="5" borderId="14" xfId="0" applyFont="1" applyFill="1" applyBorder="1" applyAlignment="1">
      <alignment horizontal="left" vertical="top"/>
    </xf>
    <xf numFmtId="0" fontId="28" fillId="5" borderId="15" xfId="0" applyFont="1" applyFill="1" applyBorder="1" applyAlignment="1">
      <alignment horizontal="left" vertical="top"/>
    </xf>
    <xf numFmtId="0" fontId="28" fillId="5" borderId="16" xfId="0" applyFont="1" applyFill="1" applyBorder="1" applyAlignment="1">
      <alignment horizontal="left" vertical="top"/>
    </xf>
    <xf numFmtId="0" fontId="28" fillId="5" borderId="17" xfId="0" applyFont="1" applyFill="1" applyBorder="1" applyAlignment="1">
      <alignment horizontal="left" vertical="top"/>
    </xf>
    <xf numFmtId="0" fontId="28" fillId="5" borderId="5" xfId="2" applyFont="1" applyFill="1" applyBorder="1" applyAlignment="1">
      <alignment horizontal="left" vertical="top"/>
    </xf>
  </cellXfs>
  <cellStyles count="10">
    <cellStyle name="Lien hypertexte 2" xfId="9" xr:uid="{00000000-0005-0000-0000-000000000000}"/>
    <cellStyle name="Link" xfId="1" builtinId="8"/>
    <cellStyle name="Link 3" xfId="3" xr:uid="{00000000-0005-0000-0000-000002000000}"/>
    <cellStyle name="Normal 2" xfId="4" xr:uid="{00000000-0005-0000-0000-000003000000}"/>
    <cellStyle name="Normal 2 2" xfId="8" xr:uid="{00000000-0005-0000-0000-000004000000}"/>
    <cellStyle name="Normal 3" xfId="7" xr:uid="{00000000-0005-0000-0000-000005000000}"/>
    <cellStyle name="Normal_Feuil1" xfId="5" xr:uid="{00000000-0005-0000-0000-000006000000}"/>
    <cellStyle name="Standard" xfId="0" builtinId="0"/>
    <cellStyle name="Standard 2" xfId="6" xr:uid="{00000000-0005-0000-0000-000008000000}"/>
    <cellStyle name="Standard 3" xfId="2"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info.pop@bfs.admin.ch" TargetMode="External"/><Relationship Id="rId3" Type="http://schemas.openxmlformats.org/officeDocument/2006/relationships/hyperlink" Target="https://www.bfs.admin.ch/bfs/fr/home/statistiques/population/enquetes/statpop.html" TargetMode="External"/><Relationship Id="rId7" Type="http://schemas.openxmlformats.org/officeDocument/2006/relationships/hyperlink" Target="mailto:info.pop@bfs.admin.ch" TargetMode="External"/><Relationship Id="rId2" Type="http://schemas.openxmlformats.org/officeDocument/2006/relationships/hyperlink" Target="https://www.bfs.admin.ch/bfs/fr/home/statistiques/population/enquetes/statpop.assetdetail.7766431.html" TargetMode="External"/><Relationship Id="rId1" Type="http://schemas.openxmlformats.org/officeDocument/2006/relationships/hyperlink" Target="https://www.bfs.admin.ch/bfs/fr/home/statistiques/population/enquetes/snc.html" TargetMode="External"/><Relationship Id="rId6" Type="http://schemas.openxmlformats.org/officeDocument/2006/relationships/hyperlink" Target="mailto:info.pop@bfs.admin.ch" TargetMode="External"/><Relationship Id="rId11" Type="http://schemas.openxmlformats.org/officeDocument/2006/relationships/printerSettings" Target="../printerSettings/printerSettings1.bin"/><Relationship Id="rId5" Type="http://schemas.openxmlformats.org/officeDocument/2006/relationships/hyperlink" Target="mailto:info.pop@bfs.admin.ch" TargetMode="External"/><Relationship Id="rId10" Type="http://schemas.openxmlformats.org/officeDocument/2006/relationships/hyperlink" Target="https://www.bfs.admin.ch/bfs/fr/home/statistiques/population/enquetes/rs.html" TargetMode="External"/><Relationship Id="rId4" Type="http://schemas.openxmlformats.org/officeDocument/2006/relationships/hyperlink" Target="https://www.bfs.admin.ch/bfs/fr/home/statistiques/construction-logement/enquetes/gws2009.assetdetail.14839312.html" TargetMode="External"/><Relationship Id="rId9" Type="http://schemas.openxmlformats.org/officeDocument/2006/relationships/hyperlink" Target="mailto:info.pop@bfs.admin.ch"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www.bfs.admin.ch/bfs/fr/home/bases-statistiques/niveaux-geographiques.html" TargetMode="External"/><Relationship Id="rId13" Type="http://schemas.openxmlformats.org/officeDocument/2006/relationships/hyperlink" Target="https://www.bfs.admin.ch/bfs/fr/home/bases-statistiques/repertoire-officiel-communes-suisse.html" TargetMode="External"/><Relationship Id="rId18" Type="http://schemas.openxmlformats.org/officeDocument/2006/relationships/hyperlink" Target="https://www.bfs.admin.ch/bfs/fr/home/bases-statistiques/stgb.assetdetail.7626604.html" TargetMode="External"/><Relationship Id="rId3" Type="http://schemas.openxmlformats.org/officeDocument/2006/relationships/hyperlink" Target="https://www.bfs.admin.ch/bfs/fr/home/bases-statistiques/stgb.assetdetail.7626604.html" TargetMode="External"/><Relationship Id="rId7" Type="http://schemas.openxmlformats.org/officeDocument/2006/relationships/hyperlink" Target="https://www.bfs.admin.ch/bfs/fr/home/bases-statistiques/niveaux-geographiques.html" TargetMode="External"/><Relationship Id="rId12" Type="http://schemas.openxmlformats.org/officeDocument/2006/relationships/hyperlink" Target="https://www.who.int/standards/classifications/classification-of-diseases" TargetMode="External"/><Relationship Id="rId17" Type="http://schemas.openxmlformats.org/officeDocument/2006/relationships/hyperlink" Target="https://www.bfs.admin.ch/bfs/fr/home/bases-statistiques/stgb.assetdetail.7626604.html" TargetMode="External"/><Relationship Id="rId2" Type="http://schemas.openxmlformats.org/officeDocument/2006/relationships/hyperlink" Target="https://www.bfs.admin.ch/bfs/fr/home/bases-statistiques/repertoire-officiel-communes-suisse.html" TargetMode="External"/><Relationship Id="rId16" Type="http://schemas.openxmlformats.org/officeDocument/2006/relationships/hyperlink" Target="https://www.bfs.admin.ch/bfs/fr/home/bases-statistiques/niveaux-geographiques.html" TargetMode="External"/><Relationship Id="rId20" Type="http://schemas.openxmlformats.org/officeDocument/2006/relationships/printerSettings" Target="../printerSettings/printerSettings2.bin"/><Relationship Id="rId1" Type="http://schemas.openxmlformats.org/officeDocument/2006/relationships/hyperlink" Target="https://www.bfs.admin.ch/bfs/fr/home/bases-statistiques/stgb.assetdetail.7626604.html" TargetMode="External"/><Relationship Id="rId6" Type="http://schemas.openxmlformats.org/officeDocument/2006/relationships/hyperlink" Target="https://www.bfs.admin.ch/bfs/fr/home/bases-statistiques/niveaux-geographiques.html" TargetMode="External"/><Relationship Id="rId11" Type="http://schemas.openxmlformats.org/officeDocument/2006/relationships/hyperlink" Target="https://www.who.int/standards/classifications/classification-of-diseases" TargetMode="External"/><Relationship Id="rId5" Type="http://schemas.openxmlformats.org/officeDocument/2006/relationships/hyperlink" Target="https://www.bfs.admin.ch/bfs/fr/home/bases-statistiques/niveaux-geographiques.html" TargetMode="External"/><Relationship Id="rId15" Type="http://schemas.openxmlformats.org/officeDocument/2006/relationships/hyperlink" Target="https://www.bfs.admin.ch/bfs/fr/home/bases-statistiques/repertoire-officiel-communes-suisse.html" TargetMode="External"/><Relationship Id="rId10" Type="http://schemas.openxmlformats.org/officeDocument/2006/relationships/hyperlink" Target="https://www.who.int/standards/classifications/classification-of-diseases" TargetMode="External"/><Relationship Id="rId19" Type="http://schemas.openxmlformats.org/officeDocument/2006/relationships/hyperlink" Target="https://www.bfs.admin.ch/bfs/fr/home/bases-statistiques/niveaux-geographiques.html" TargetMode="External"/><Relationship Id="rId4" Type="http://schemas.openxmlformats.org/officeDocument/2006/relationships/hyperlink" Target="https://www.bfs.admin.ch/bfs/fr/home/bases-statistiques/stgb.assetdetail.7626604.html" TargetMode="External"/><Relationship Id="rId9" Type="http://schemas.openxmlformats.org/officeDocument/2006/relationships/hyperlink" Target="https://www.who.int/standards/classifications/classification-of-diseases" TargetMode="External"/><Relationship Id="rId14" Type="http://schemas.openxmlformats.org/officeDocument/2006/relationships/hyperlink" Target="https://www.bfs.admin.ch/bfs/fr/home/bases-statistiques/repertoire-officiel-communes-suisse.html"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92"/>
  <sheetViews>
    <sheetView tabSelected="1" zoomScaleNormal="100" workbookViewId="0"/>
  </sheetViews>
  <sheetFormatPr baseColWidth="10" defaultColWidth="10.5" defaultRowHeight="14.25" x14ac:dyDescent="0.2"/>
  <cols>
    <col min="1" max="1" width="14" style="23" customWidth="1"/>
    <col min="2" max="2" width="55" style="23" bestFit="1" customWidth="1"/>
    <col min="3" max="3" width="35" style="23" customWidth="1"/>
    <col min="4" max="4" width="28.125" style="23" customWidth="1"/>
    <col min="5" max="5" width="34.375" style="23" customWidth="1"/>
    <col min="6" max="6" width="12" style="23" customWidth="1"/>
    <col min="7" max="7" width="40.375" style="23" customWidth="1"/>
    <col min="8" max="44" width="10.5" style="22"/>
    <col min="45" max="16384" width="10.5" style="23"/>
  </cols>
  <sheetData>
    <row r="1" spans="1:8" ht="90.6" customHeight="1" x14ac:dyDescent="0.2">
      <c r="A1" s="21" t="s">
        <v>4</v>
      </c>
      <c r="B1" s="213" t="s">
        <v>5031</v>
      </c>
      <c r="C1" s="213"/>
      <c r="D1" s="213"/>
      <c r="E1" s="213"/>
      <c r="F1" s="213"/>
      <c r="G1" s="213"/>
    </row>
    <row r="2" spans="1:8" ht="46.5" customHeight="1" x14ac:dyDescent="0.2">
      <c r="A2" s="1" t="s">
        <v>4</v>
      </c>
      <c r="B2" s="214" t="s">
        <v>3118</v>
      </c>
      <c r="C2" s="214"/>
      <c r="D2" s="214"/>
      <c r="E2" s="214"/>
      <c r="F2" s="214"/>
      <c r="G2" s="214"/>
    </row>
    <row r="3" spans="1:8" s="22" customFormat="1" x14ac:dyDescent="0.2"/>
    <row r="4" spans="1:8" ht="42" customHeight="1" x14ac:dyDescent="0.2">
      <c r="A4" s="2" t="s">
        <v>5</v>
      </c>
      <c r="B4" s="8" t="s">
        <v>51</v>
      </c>
      <c r="C4" s="8" t="s">
        <v>6</v>
      </c>
      <c r="D4" s="2" t="s">
        <v>52</v>
      </c>
      <c r="E4" s="3" t="s">
        <v>2289</v>
      </c>
      <c r="F4" s="3" t="s">
        <v>2294</v>
      </c>
      <c r="G4" s="4" t="s">
        <v>2288</v>
      </c>
    </row>
    <row r="5" spans="1:8" ht="15" x14ac:dyDescent="0.2">
      <c r="A5" s="20" t="s">
        <v>2287</v>
      </c>
      <c r="B5" s="17"/>
      <c r="C5" s="17"/>
      <c r="D5" s="16"/>
      <c r="E5" s="19"/>
      <c r="F5" s="18"/>
      <c r="G5" s="19"/>
    </row>
    <row r="6" spans="1:8" x14ac:dyDescent="0.2">
      <c r="A6" s="24" t="s">
        <v>12</v>
      </c>
      <c r="B6" s="209" t="s">
        <v>5032</v>
      </c>
      <c r="C6" s="5" t="s">
        <v>297</v>
      </c>
      <c r="D6" s="24" t="s">
        <v>14</v>
      </c>
      <c r="E6" s="215" t="s">
        <v>2282</v>
      </c>
      <c r="F6" s="211"/>
      <c r="G6" s="38" t="s">
        <v>5030</v>
      </c>
      <c r="H6" s="39"/>
    </row>
    <row r="7" spans="1:8" ht="15.75" x14ac:dyDescent="0.25">
      <c r="A7" s="204" t="s">
        <v>12</v>
      </c>
      <c r="B7" s="204" t="s">
        <v>4991</v>
      </c>
      <c r="C7" s="41" t="s">
        <v>4991</v>
      </c>
      <c r="D7" s="204" t="s">
        <v>4993</v>
      </c>
      <c r="E7" s="216"/>
      <c r="F7" s="25"/>
      <c r="G7" s="38" t="s">
        <v>5030</v>
      </c>
      <c r="H7" s="39"/>
    </row>
    <row r="8" spans="1:8" x14ac:dyDescent="0.2">
      <c r="A8" s="24" t="s">
        <v>7</v>
      </c>
      <c r="B8" s="209" t="s">
        <v>5033</v>
      </c>
      <c r="C8" s="5" t="s">
        <v>1</v>
      </c>
      <c r="D8" s="24">
        <v>1990</v>
      </c>
      <c r="E8" s="216"/>
      <c r="F8" s="25"/>
      <c r="G8" s="5"/>
    </row>
    <row r="9" spans="1:8" x14ac:dyDescent="0.2">
      <c r="A9" s="25" t="s">
        <v>7</v>
      </c>
      <c r="B9" s="210" t="s">
        <v>5034</v>
      </c>
      <c r="C9" s="5" t="s">
        <v>2</v>
      </c>
      <c r="D9" s="24">
        <v>2000</v>
      </c>
      <c r="E9" s="216"/>
      <c r="F9" s="25"/>
      <c r="G9" s="5"/>
    </row>
    <row r="10" spans="1:8" ht="15.75" x14ac:dyDescent="0.25">
      <c r="A10" s="25" t="s">
        <v>7</v>
      </c>
      <c r="B10" s="25" t="s">
        <v>61</v>
      </c>
      <c r="C10" s="41" t="s">
        <v>3010</v>
      </c>
      <c r="D10" s="24">
        <v>1992</v>
      </c>
      <c r="E10" s="216"/>
      <c r="F10" s="40"/>
      <c r="G10" s="5"/>
    </row>
    <row r="11" spans="1:8" x14ac:dyDescent="0.2">
      <c r="A11" s="24" t="s">
        <v>7</v>
      </c>
      <c r="B11" s="25" t="s">
        <v>10</v>
      </c>
      <c r="C11" s="6" t="s">
        <v>3</v>
      </c>
      <c r="D11" s="24" t="s">
        <v>2281</v>
      </c>
      <c r="E11" s="217"/>
      <c r="F11" s="25"/>
      <c r="G11" s="5"/>
    </row>
    <row r="12" spans="1:8" x14ac:dyDescent="0.2">
      <c r="A12" s="26" t="s">
        <v>2293</v>
      </c>
      <c r="B12" s="27"/>
      <c r="C12" s="28"/>
      <c r="D12" s="29"/>
      <c r="E12" s="30"/>
      <c r="F12" s="31"/>
      <c r="G12" s="30"/>
    </row>
    <row r="13" spans="1:8" ht="28.5" x14ac:dyDescent="0.2">
      <c r="A13" s="25" t="s">
        <v>7</v>
      </c>
      <c r="B13" s="25" t="s">
        <v>53</v>
      </c>
      <c r="C13" s="32" t="s">
        <v>2277</v>
      </c>
      <c r="D13" s="33" t="s">
        <v>2285</v>
      </c>
      <c r="E13" s="5" t="s">
        <v>2290</v>
      </c>
      <c r="F13" s="25"/>
      <c r="G13" s="5"/>
    </row>
    <row r="14" spans="1:8" x14ac:dyDescent="0.2">
      <c r="A14" s="25" t="s">
        <v>7</v>
      </c>
      <c r="B14" s="25" t="s">
        <v>8</v>
      </c>
      <c r="C14" s="5" t="s">
        <v>58</v>
      </c>
      <c r="D14" s="33" t="s">
        <v>2286</v>
      </c>
      <c r="E14" s="5" t="s">
        <v>2290</v>
      </c>
      <c r="F14" s="34"/>
      <c r="G14" s="5"/>
    </row>
    <row r="15" spans="1:8" x14ac:dyDescent="0.2">
      <c r="A15" s="25" t="s">
        <v>7</v>
      </c>
      <c r="B15" s="25" t="s">
        <v>9</v>
      </c>
      <c r="C15" s="5" t="s">
        <v>59</v>
      </c>
      <c r="D15" s="33" t="s">
        <v>2283</v>
      </c>
      <c r="E15" s="5" t="s">
        <v>2291</v>
      </c>
      <c r="F15" s="35"/>
      <c r="G15" s="5"/>
    </row>
    <row r="16" spans="1:8" x14ac:dyDescent="0.2">
      <c r="A16" s="24" t="s">
        <v>7</v>
      </c>
      <c r="B16" s="25" t="s">
        <v>10</v>
      </c>
      <c r="C16" s="5" t="s">
        <v>3</v>
      </c>
      <c r="D16" s="33" t="s">
        <v>2283</v>
      </c>
      <c r="E16" s="5" t="s">
        <v>2290</v>
      </c>
      <c r="F16" s="25"/>
      <c r="G16" s="5"/>
    </row>
    <row r="17" spans="1:46" x14ac:dyDescent="0.2">
      <c r="A17" s="25" t="s">
        <v>7</v>
      </c>
      <c r="B17" s="25" t="s">
        <v>2284</v>
      </c>
      <c r="C17" s="5" t="s">
        <v>60</v>
      </c>
      <c r="D17" s="24" t="s">
        <v>2283</v>
      </c>
      <c r="E17" s="5" t="s">
        <v>2292</v>
      </c>
      <c r="F17" s="25"/>
      <c r="G17" s="5"/>
    </row>
    <row r="18" spans="1:46" x14ac:dyDescent="0.2">
      <c r="A18" s="26" t="s">
        <v>2295</v>
      </c>
      <c r="B18" s="27"/>
      <c r="C18" s="30"/>
      <c r="D18" s="29"/>
      <c r="E18" s="30"/>
      <c r="F18" s="27"/>
      <c r="G18" s="30"/>
    </row>
    <row r="19" spans="1:46" ht="15.75" x14ac:dyDescent="0.2">
      <c r="A19" s="24" t="s">
        <v>12</v>
      </c>
      <c r="B19" s="25" t="s">
        <v>62</v>
      </c>
      <c r="C19" s="197" t="s">
        <v>63</v>
      </c>
      <c r="D19" s="36" t="s">
        <v>14</v>
      </c>
      <c r="E19" s="54"/>
      <c r="F19" s="25"/>
      <c r="G19" s="5"/>
    </row>
    <row r="20" spans="1:46" x14ac:dyDescent="0.2">
      <c r="A20" s="24"/>
      <c r="B20" s="25"/>
      <c r="C20" s="6"/>
      <c r="D20" s="24"/>
      <c r="E20" s="5"/>
      <c r="F20" s="25"/>
      <c r="G20" s="5"/>
    </row>
    <row r="21" spans="1:46" s="22" customFormat="1" x14ac:dyDescent="0.2">
      <c r="E21" s="7"/>
      <c r="G21" s="7"/>
    </row>
    <row r="22" spans="1:46" ht="15" x14ac:dyDescent="0.2">
      <c r="A22" s="15" t="s">
        <v>4990</v>
      </c>
      <c r="B22" s="15"/>
      <c r="C22" s="15"/>
      <c r="D22" s="15"/>
      <c r="E22" s="15"/>
      <c r="F22" s="15"/>
      <c r="G22" s="15"/>
      <c r="AS22" s="22"/>
      <c r="AT22" s="22"/>
    </row>
    <row r="23" spans="1:46" s="22" customFormat="1" x14ac:dyDescent="0.2">
      <c r="B23" s="37"/>
    </row>
    <row r="24" spans="1:46" s="22" customFormat="1" x14ac:dyDescent="0.2">
      <c r="B24" s="37"/>
    </row>
    <row r="25" spans="1:46" s="22" customFormat="1" x14ac:dyDescent="0.2"/>
    <row r="26" spans="1:46" s="22" customFormat="1" x14ac:dyDescent="0.2"/>
    <row r="27" spans="1:46" s="22" customFormat="1" x14ac:dyDescent="0.2"/>
    <row r="28" spans="1:46" s="22" customFormat="1" x14ac:dyDescent="0.2"/>
    <row r="29" spans="1:46" s="22" customFormat="1" x14ac:dyDescent="0.2"/>
    <row r="30" spans="1:46" s="22" customFormat="1" x14ac:dyDescent="0.2"/>
    <row r="31" spans="1:46" s="22" customFormat="1" x14ac:dyDescent="0.2"/>
    <row r="32" spans="1:46" s="22" customFormat="1" x14ac:dyDescent="0.2"/>
    <row r="33" s="22" customFormat="1" x14ac:dyDescent="0.2"/>
    <row r="34" s="22" customFormat="1" x14ac:dyDescent="0.2"/>
    <row r="35" s="22" customFormat="1" x14ac:dyDescent="0.2"/>
    <row r="36" s="22" customFormat="1" x14ac:dyDescent="0.2"/>
    <row r="37" s="22" customFormat="1" x14ac:dyDescent="0.2"/>
    <row r="38" s="22" customFormat="1" x14ac:dyDescent="0.2"/>
    <row r="39" s="22" customFormat="1" x14ac:dyDescent="0.2"/>
    <row r="40" s="22" customFormat="1" x14ac:dyDescent="0.2"/>
    <row r="41" s="22" customFormat="1" x14ac:dyDescent="0.2"/>
    <row r="42" s="22" customFormat="1" x14ac:dyDescent="0.2"/>
    <row r="43" s="22" customFormat="1" x14ac:dyDescent="0.2"/>
    <row r="44" s="22" customFormat="1" x14ac:dyDescent="0.2"/>
    <row r="45" s="22" customFormat="1" x14ac:dyDescent="0.2"/>
    <row r="46" s="22" customFormat="1" x14ac:dyDescent="0.2"/>
    <row r="47" s="22" customFormat="1" x14ac:dyDescent="0.2"/>
    <row r="48" s="22" customFormat="1" x14ac:dyDescent="0.2"/>
    <row r="49" s="22" customFormat="1" x14ac:dyDescent="0.2"/>
    <row r="50" s="22" customFormat="1" x14ac:dyDescent="0.2"/>
    <row r="51" s="22" customFormat="1" x14ac:dyDescent="0.2"/>
    <row r="52" s="22" customFormat="1" x14ac:dyDescent="0.2"/>
    <row r="53" s="22" customFormat="1" x14ac:dyDescent="0.2"/>
    <row r="54" s="22" customFormat="1" x14ac:dyDescent="0.2"/>
    <row r="55" s="22" customFormat="1" x14ac:dyDescent="0.2"/>
    <row r="56" s="22" customFormat="1" x14ac:dyDescent="0.2"/>
    <row r="57" s="22" customFormat="1" x14ac:dyDescent="0.2"/>
    <row r="58" s="22" customFormat="1" x14ac:dyDescent="0.2"/>
    <row r="59" s="22" customFormat="1" x14ac:dyDescent="0.2"/>
    <row r="60" s="22" customFormat="1" x14ac:dyDescent="0.2"/>
    <row r="61" s="22" customFormat="1" x14ac:dyDescent="0.2"/>
    <row r="62" s="22" customFormat="1" x14ac:dyDescent="0.2"/>
    <row r="63" s="22" customFormat="1" x14ac:dyDescent="0.2"/>
    <row r="64" s="22" customFormat="1" x14ac:dyDescent="0.2"/>
    <row r="65" s="22" customFormat="1" x14ac:dyDescent="0.2"/>
    <row r="66" s="22" customFormat="1" x14ac:dyDescent="0.2"/>
    <row r="67" s="22" customFormat="1" x14ac:dyDescent="0.2"/>
    <row r="68" s="22" customFormat="1" x14ac:dyDescent="0.2"/>
    <row r="69" s="22" customFormat="1" x14ac:dyDescent="0.2"/>
    <row r="70" s="22" customFormat="1" x14ac:dyDescent="0.2"/>
    <row r="71" s="22" customFormat="1" x14ac:dyDescent="0.2"/>
    <row r="72" s="22" customFormat="1" x14ac:dyDescent="0.2"/>
    <row r="73" s="22" customFormat="1" x14ac:dyDescent="0.2"/>
    <row r="74" s="22" customFormat="1" x14ac:dyDescent="0.2"/>
    <row r="75" s="22" customFormat="1" x14ac:dyDescent="0.2"/>
    <row r="76" s="22" customFormat="1" x14ac:dyDescent="0.2"/>
    <row r="77" s="22" customFormat="1" x14ac:dyDescent="0.2"/>
    <row r="78" s="22" customFormat="1" x14ac:dyDescent="0.2"/>
    <row r="79" s="22" customFormat="1" x14ac:dyDescent="0.2"/>
    <row r="80" s="22" customFormat="1" x14ac:dyDescent="0.2"/>
    <row r="81" s="22" customFormat="1" x14ac:dyDescent="0.2"/>
    <row r="82" s="22" customFormat="1" x14ac:dyDescent="0.2"/>
    <row r="83" s="22" customFormat="1" x14ac:dyDescent="0.2"/>
    <row r="84" s="22" customFormat="1" x14ac:dyDescent="0.2"/>
    <row r="85" s="22" customFormat="1" x14ac:dyDescent="0.2"/>
    <row r="86" s="22" customFormat="1" x14ac:dyDescent="0.2"/>
    <row r="87" s="22" customFormat="1" x14ac:dyDescent="0.2"/>
    <row r="88" s="22" customFormat="1" x14ac:dyDescent="0.2"/>
    <row r="89" s="22" customFormat="1" x14ac:dyDescent="0.2"/>
    <row r="90" s="22" customFormat="1" x14ac:dyDescent="0.2"/>
    <row r="91" s="22" customFormat="1" x14ac:dyDescent="0.2"/>
    <row r="92" s="22" customFormat="1" x14ac:dyDescent="0.2"/>
    <row r="93" s="22" customFormat="1" x14ac:dyDescent="0.2"/>
    <row r="94" s="22" customFormat="1" x14ac:dyDescent="0.2"/>
    <row r="95" s="22" customFormat="1" x14ac:dyDescent="0.2"/>
    <row r="96" s="22" customFormat="1" x14ac:dyDescent="0.2"/>
    <row r="97" s="22" customFormat="1" x14ac:dyDescent="0.2"/>
    <row r="98" s="22" customFormat="1" x14ac:dyDescent="0.2"/>
    <row r="99" s="22" customFormat="1" x14ac:dyDescent="0.2"/>
    <row r="100" s="22" customFormat="1" x14ac:dyDescent="0.2"/>
    <row r="101" s="22" customFormat="1" x14ac:dyDescent="0.2"/>
    <row r="102" s="22" customFormat="1" x14ac:dyDescent="0.2"/>
    <row r="103" s="22" customFormat="1" x14ac:dyDescent="0.2"/>
    <row r="104" s="22" customFormat="1" x14ac:dyDescent="0.2"/>
    <row r="105" s="22" customFormat="1" x14ac:dyDescent="0.2"/>
    <row r="106" s="22" customFormat="1" x14ac:dyDescent="0.2"/>
    <row r="107" s="22" customFormat="1" x14ac:dyDescent="0.2"/>
    <row r="108" s="22" customFormat="1" x14ac:dyDescent="0.2"/>
    <row r="109" s="22" customFormat="1" x14ac:dyDescent="0.2"/>
    <row r="110" s="22" customFormat="1" x14ac:dyDescent="0.2"/>
    <row r="111" s="22" customFormat="1" x14ac:dyDescent="0.2"/>
    <row r="112" s="22" customFormat="1" x14ac:dyDescent="0.2"/>
    <row r="113" s="22" customFormat="1" x14ac:dyDescent="0.2"/>
    <row r="114" s="22" customFormat="1" x14ac:dyDescent="0.2"/>
    <row r="115" s="22" customFormat="1" x14ac:dyDescent="0.2"/>
    <row r="116" s="22" customFormat="1" x14ac:dyDescent="0.2"/>
    <row r="117" s="22" customFormat="1" x14ac:dyDescent="0.2"/>
    <row r="118" s="22" customFormat="1" x14ac:dyDescent="0.2"/>
    <row r="119" s="22" customFormat="1" x14ac:dyDescent="0.2"/>
    <row r="120" s="22" customFormat="1" x14ac:dyDescent="0.2"/>
    <row r="121" s="22" customFormat="1" x14ac:dyDescent="0.2"/>
    <row r="122" s="22" customFormat="1" x14ac:dyDescent="0.2"/>
    <row r="123" s="22" customFormat="1" x14ac:dyDescent="0.2"/>
    <row r="124" s="22" customFormat="1" x14ac:dyDescent="0.2"/>
    <row r="125" s="22" customFormat="1" x14ac:dyDescent="0.2"/>
    <row r="126" s="22" customFormat="1" x14ac:dyDescent="0.2"/>
    <row r="127" s="22" customFormat="1" x14ac:dyDescent="0.2"/>
    <row r="128" s="22" customFormat="1" x14ac:dyDescent="0.2"/>
    <row r="129" s="22" customFormat="1" x14ac:dyDescent="0.2"/>
    <row r="130" s="22" customFormat="1" x14ac:dyDescent="0.2"/>
    <row r="131" s="22" customFormat="1" x14ac:dyDescent="0.2"/>
    <row r="132" s="22" customFormat="1" x14ac:dyDescent="0.2"/>
    <row r="133" s="22" customFormat="1" x14ac:dyDescent="0.2"/>
    <row r="134" s="22" customFormat="1" x14ac:dyDescent="0.2"/>
    <row r="135" s="22" customFormat="1" x14ac:dyDescent="0.2"/>
    <row r="136" s="22" customFormat="1" x14ac:dyDescent="0.2"/>
    <row r="137" s="22" customFormat="1" x14ac:dyDescent="0.2"/>
    <row r="138" s="22" customFormat="1" x14ac:dyDescent="0.2"/>
    <row r="139" s="22" customFormat="1" x14ac:dyDescent="0.2"/>
    <row r="140" s="22" customFormat="1" x14ac:dyDescent="0.2"/>
    <row r="141" s="22" customFormat="1" x14ac:dyDescent="0.2"/>
    <row r="142" s="22" customFormat="1" x14ac:dyDescent="0.2"/>
    <row r="143" s="22" customFormat="1" x14ac:dyDescent="0.2"/>
    <row r="144" s="22" customFormat="1" x14ac:dyDescent="0.2"/>
    <row r="145" s="22" customFormat="1" x14ac:dyDescent="0.2"/>
    <row r="146" s="22" customFormat="1" x14ac:dyDescent="0.2"/>
    <row r="147" s="22" customFormat="1" x14ac:dyDescent="0.2"/>
    <row r="148" s="22" customFormat="1" x14ac:dyDescent="0.2"/>
    <row r="149" s="22" customFormat="1" x14ac:dyDescent="0.2"/>
    <row r="150" s="22" customFormat="1" x14ac:dyDescent="0.2"/>
    <row r="151" s="22" customFormat="1" x14ac:dyDescent="0.2"/>
    <row r="152" s="22" customFormat="1" x14ac:dyDescent="0.2"/>
    <row r="153" s="22" customFormat="1" x14ac:dyDescent="0.2"/>
    <row r="154" s="22" customFormat="1" x14ac:dyDescent="0.2"/>
    <row r="155" s="22" customFormat="1" x14ac:dyDescent="0.2"/>
    <row r="156" s="22" customFormat="1" x14ac:dyDescent="0.2"/>
    <row r="157" s="22" customFormat="1" x14ac:dyDescent="0.2"/>
    <row r="158" s="22" customFormat="1" x14ac:dyDescent="0.2"/>
    <row r="159" s="22" customFormat="1" x14ac:dyDescent="0.2"/>
    <row r="160" s="22" customFormat="1" x14ac:dyDescent="0.2"/>
    <row r="161" s="22" customFormat="1" x14ac:dyDescent="0.2"/>
    <row r="162" s="22" customFormat="1" x14ac:dyDescent="0.2"/>
    <row r="163" s="22" customFormat="1" x14ac:dyDescent="0.2"/>
    <row r="164" s="22" customFormat="1" x14ac:dyDescent="0.2"/>
    <row r="165" s="22" customFormat="1" x14ac:dyDescent="0.2"/>
    <row r="166" s="22" customFormat="1" x14ac:dyDescent="0.2"/>
    <row r="167" s="22" customFormat="1" x14ac:dyDescent="0.2"/>
    <row r="168" s="22" customFormat="1" x14ac:dyDescent="0.2"/>
    <row r="169" s="22" customFormat="1" x14ac:dyDescent="0.2"/>
    <row r="170" s="22" customFormat="1" x14ac:dyDescent="0.2"/>
    <row r="171" s="22" customFormat="1" x14ac:dyDescent="0.2"/>
    <row r="172" s="22" customFormat="1" x14ac:dyDescent="0.2"/>
    <row r="173" s="22" customFormat="1" x14ac:dyDescent="0.2"/>
    <row r="174" s="22" customFormat="1" x14ac:dyDescent="0.2"/>
    <row r="175" s="22" customFormat="1" x14ac:dyDescent="0.2"/>
    <row r="176" s="22" customFormat="1" x14ac:dyDescent="0.2"/>
    <row r="177" s="22" customFormat="1" x14ac:dyDescent="0.2"/>
    <row r="178" s="22" customFormat="1" x14ac:dyDescent="0.2"/>
    <row r="179" s="22" customFormat="1" x14ac:dyDescent="0.2"/>
    <row r="180" s="22" customFormat="1" x14ac:dyDescent="0.2"/>
    <row r="181" s="22" customFormat="1" x14ac:dyDescent="0.2"/>
    <row r="182" s="22" customFormat="1" x14ac:dyDescent="0.2"/>
    <row r="183" s="22" customFormat="1" x14ac:dyDescent="0.2"/>
    <row r="184" s="22" customFormat="1" x14ac:dyDescent="0.2"/>
    <row r="185" s="22" customFormat="1" x14ac:dyDescent="0.2"/>
    <row r="186" s="22" customFormat="1" x14ac:dyDescent="0.2"/>
    <row r="187" s="22" customFormat="1" x14ac:dyDescent="0.2"/>
    <row r="188" s="22" customFormat="1" x14ac:dyDescent="0.2"/>
    <row r="189" s="22" customFormat="1" x14ac:dyDescent="0.2"/>
    <row r="190" s="22" customFormat="1" x14ac:dyDescent="0.2"/>
    <row r="191" s="22" customFormat="1" x14ac:dyDescent="0.2"/>
    <row r="192" s="22" customFormat="1" x14ac:dyDescent="0.2"/>
  </sheetData>
  <mergeCells count="3">
    <mergeCell ref="B1:G1"/>
    <mergeCell ref="B2:G2"/>
    <mergeCell ref="E6:E11"/>
  </mergeCells>
  <hyperlinks>
    <hyperlink ref="C16" location="BEVNAT!A1" display="BEVNAT" xr:uid="{00000000-0004-0000-0000-000000000000}"/>
    <hyperlink ref="C19" r:id="rId1" xr:uid="{00000000-0004-0000-0000-000001000000}"/>
    <hyperlink ref="C6" location="Extrait_SNC!A1" display="Extrait_SNC" xr:uid="{00000000-0004-0000-0000-000002000000}"/>
    <hyperlink ref="C8" location="'VZ1990'!A1" display="VZ1990" xr:uid="{00000000-0004-0000-0000-000003000000}"/>
    <hyperlink ref="C9" location="'VZ2000'!A1" display="VZ2000" xr:uid="{00000000-0004-0000-0000-000004000000}"/>
    <hyperlink ref="C14" r:id="rId2" xr:uid="{00000000-0004-0000-0000-000005000000}"/>
    <hyperlink ref="C13" r:id="rId3" display="https://www.bfs.admin.ch/bfs/fr/home/statistiques/population/enquetes/statpop.html" xr:uid="{00000000-0004-0000-0000-000006000000}"/>
    <hyperlink ref="C10" location="SGB!A1" display="SGB" xr:uid="{00000000-0004-0000-0000-000007000000}"/>
    <hyperlink ref="C11" location="BEVNAT!A1" display="BEVNAT" xr:uid="{00000000-0004-0000-0000-000008000000}"/>
    <hyperlink ref="C17" r:id="rId4" xr:uid="{00000000-0004-0000-0000-000009000000}"/>
    <hyperlink ref="E13" r:id="rId5" display="mailto:info.pop@bfs.admin.ch" xr:uid="{00000000-0004-0000-0000-00000A000000}"/>
    <hyperlink ref="E15" r:id="rId6" display="mailto:info.pop@bfs.admin.ch" xr:uid="{00000000-0004-0000-0000-00000B000000}"/>
    <hyperlink ref="E6" r:id="rId7" display="mailto:info.pop@bfs.admin.ch" xr:uid="{00000000-0004-0000-0000-00000C000000}"/>
    <hyperlink ref="E14" r:id="rId8" display="mailto:info.pop@bfs.admin.ch" xr:uid="{00000000-0004-0000-0000-00000D000000}"/>
    <hyperlink ref="E16" r:id="rId9" display="mailto:info.pop@bfs.admin.ch" xr:uid="{00000000-0004-0000-0000-00000E000000}"/>
    <hyperlink ref="C15" r:id="rId10" xr:uid="{00000000-0004-0000-0000-00000F000000}"/>
    <hyperlink ref="C7" location="SSEP!A1" display="SSEP" xr:uid="{73042001-D16C-4EC9-A2B3-03788C8A68C7}"/>
  </hyperlinks>
  <pageMargins left="0.7" right="0.7" top="0.75" bottom="0.75" header="0.3" footer="0.3"/>
  <pageSetup orientation="portrait"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N94"/>
  <sheetViews>
    <sheetView zoomScaleNormal="100" workbookViewId="0">
      <selection activeCell="B13" sqref="B13"/>
    </sheetView>
  </sheetViews>
  <sheetFormatPr baseColWidth="10" defaultColWidth="56.125" defaultRowHeight="14.25" x14ac:dyDescent="0.2"/>
  <cols>
    <col min="1" max="1" width="19" style="72" bestFit="1" customWidth="1"/>
    <col min="2" max="2" width="65.5" style="72" customWidth="1"/>
    <col min="3" max="3" width="35.125" style="72" bestFit="1" customWidth="1"/>
    <col min="4" max="4" width="61.5" style="72" customWidth="1"/>
    <col min="5" max="5" width="18.75" style="72" customWidth="1"/>
    <col min="6" max="6" width="32.625" style="72" customWidth="1"/>
    <col min="7" max="7" width="28.125" style="72" bestFit="1" customWidth="1"/>
    <col min="8" max="8" width="66.375" style="72" bestFit="1" customWidth="1"/>
    <col min="9" max="9" width="50.375" style="72" bestFit="1" customWidth="1"/>
    <col min="10" max="10" width="100.25" style="72" customWidth="1"/>
    <col min="11" max="11" width="33.125" style="72" customWidth="1"/>
    <col min="12" max="12" width="74.875" style="72" customWidth="1"/>
    <col min="13" max="13" width="42.375" style="72" customWidth="1"/>
    <col min="14" max="16384" width="56.125" style="72"/>
  </cols>
  <sheetData>
    <row r="1" spans="1:14" s="44" customFormat="1" ht="15" x14ac:dyDescent="0.2">
      <c r="A1" s="11" t="s">
        <v>5</v>
      </c>
      <c r="B1" s="68" t="s">
        <v>12</v>
      </c>
      <c r="C1" s="11"/>
      <c r="D1" s="69" t="s">
        <v>4297</v>
      </c>
      <c r="E1" s="43"/>
      <c r="F1" s="69"/>
      <c r="G1" s="14"/>
      <c r="H1" s="14"/>
      <c r="I1" s="14"/>
      <c r="J1" s="14"/>
      <c r="K1" s="14"/>
      <c r="L1" s="14"/>
      <c r="M1" s="10"/>
      <c r="N1" s="10"/>
    </row>
    <row r="2" spans="1:14" s="44" customFormat="1" ht="15" x14ac:dyDescent="0.2">
      <c r="A2" s="12" t="s">
        <v>51</v>
      </c>
      <c r="B2" s="68" t="s">
        <v>0</v>
      </c>
      <c r="C2" s="11"/>
      <c r="D2" s="69"/>
      <c r="E2" s="14"/>
      <c r="F2" s="69"/>
      <c r="G2" s="14"/>
      <c r="H2" s="14"/>
      <c r="I2" s="14"/>
      <c r="J2" s="14"/>
      <c r="K2" s="14"/>
      <c r="L2" s="14"/>
      <c r="M2" s="10"/>
      <c r="N2" s="10"/>
    </row>
    <row r="3" spans="1:14" s="44" customFormat="1" ht="15" x14ac:dyDescent="0.2">
      <c r="A3" s="11" t="s">
        <v>17</v>
      </c>
      <c r="B3" s="68" t="s">
        <v>14</v>
      </c>
      <c r="C3" s="11"/>
      <c r="D3" s="14"/>
      <c r="E3" s="14"/>
      <c r="F3" s="14"/>
      <c r="G3" s="14"/>
      <c r="H3" s="14"/>
      <c r="I3" s="14"/>
      <c r="J3" s="14"/>
      <c r="K3" s="14"/>
      <c r="L3" s="14"/>
      <c r="M3" s="10"/>
      <c r="N3" s="10"/>
    </row>
    <row r="4" spans="1:14" s="44" customFormat="1" ht="57" x14ac:dyDescent="0.2">
      <c r="A4" s="11" t="s">
        <v>18</v>
      </c>
      <c r="B4" s="203" t="s">
        <v>4989</v>
      </c>
      <c r="C4" s="11"/>
      <c r="D4" s="14"/>
      <c r="E4" s="14"/>
      <c r="F4" s="14"/>
      <c r="G4" s="14"/>
      <c r="H4" s="14"/>
      <c r="I4" s="14"/>
      <c r="J4" s="14"/>
      <c r="K4" s="14"/>
      <c r="L4" s="14"/>
      <c r="M4" s="10"/>
      <c r="N4" s="10"/>
    </row>
    <row r="5" spans="1:14" s="44" customFormat="1" x14ac:dyDescent="0.2">
      <c r="C5" s="14"/>
      <c r="D5" s="14"/>
      <c r="E5" s="14"/>
      <c r="F5" s="14"/>
      <c r="G5" s="14"/>
      <c r="H5" s="14"/>
      <c r="I5" s="14"/>
      <c r="J5" s="14"/>
      <c r="K5" s="14"/>
      <c r="L5" s="14"/>
      <c r="M5" s="10"/>
      <c r="N5" s="10"/>
    </row>
    <row r="6" spans="1:14" s="44" customFormat="1" x14ac:dyDescent="0.2">
      <c r="C6" s="14"/>
      <c r="D6" s="14"/>
      <c r="E6" s="14"/>
      <c r="F6" s="14"/>
      <c r="G6" s="14"/>
      <c r="H6" s="14"/>
      <c r="I6" s="14"/>
      <c r="J6" s="14"/>
      <c r="K6" s="14"/>
      <c r="L6" s="14"/>
      <c r="M6" s="10"/>
      <c r="N6" s="10"/>
    </row>
    <row r="7" spans="1:14" ht="15" x14ac:dyDescent="0.2">
      <c r="A7" s="66" t="s">
        <v>19</v>
      </c>
      <c r="B7" s="66" t="s">
        <v>56</v>
      </c>
      <c r="C7" s="66" t="s">
        <v>4093</v>
      </c>
      <c r="D7" s="66" t="s">
        <v>4094</v>
      </c>
      <c r="E7" s="66" t="s">
        <v>4095</v>
      </c>
      <c r="F7" s="66" t="s">
        <v>4096</v>
      </c>
      <c r="G7" s="66" t="s">
        <v>4093</v>
      </c>
      <c r="H7" s="66" t="s">
        <v>4097</v>
      </c>
      <c r="I7" s="66" t="s">
        <v>4098</v>
      </c>
      <c r="J7" s="66" t="s">
        <v>4099</v>
      </c>
      <c r="K7" s="66" t="s">
        <v>4100</v>
      </c>
      <c r="L7" s="66" t="s">
        <v>4101</v>
      </c>
    </row>
    <row r="8" spans="1:14" s="47" customFormat="1" ht="28.5" x14ac:dyDescent="0.25">
      <c r="A8" s="67" t="s">
        <v>2278</v>
      </c>
      <c r="B8" s="65" t="s">
        <v>5036</v>
      </c>
      <c r="C8" s="67" t="s">
        <v>4893</v>
      </c>
      <c r="D8" s="67" t="s">
        <v>4894</v>
      </c>
      <c r="E8" s="67" t="s">
        <v>14</v>
      </c>
      <c r="F8" s="67"/>
      <c r="G8" s="67"/>
      <c r="H8" s="67"/>
      <c r="I8" s="67" t="s">
        <v>4102</v>
      </c>
      <c r="J8" s="67"/>
      <c r="K8" s="67"/>
      <c r="L8" s="67"/>
      <c r="M8" s="9"/>
    </row>
    <row r="9" spans="1:14" s="73" customFormat="1" ht="71.25" x14ac:dyDescent="0.2">
      <c r="A9" s="56" t="s">
        <v>183</v>
      </c>
      <c r="B9" s="56" t="s">
        <v>5037</v>
      </c>
      <c r="C9" s="56" t="s">
        <v>184</v>
      </c>
      <c r="D9" s="56" t="s">
        <v>4208</v>
      </c>
      <c r="E9" s="56">
        <v>1990</v>
      </c>
      <c r="F9" s="56"/>
      <c r="G9" s="56"/>
      <c r="H9" s="56"/>
      <c r="I9" s="56" t="s">
        <v>4209</v>
      </c>
      <c r="J9" s="56" t="s">
        <v>4210</v>
      </c>
      <c r="K9" s="56"/>
      <c r="L9" s="56" t="s">
        <v>185</v>
      </c>
    </row>
    <row r="10" spans="1:14" s="73" customFormat="1" ht="28.5" x14ac:dyDescent="0.2">
      <c r="A10" s="56" t="s">
        <v>186</v>
      </c>
      <c r="B10" s="56" t="s">
        <v>5038</v>
      </c>
      <c r="C10" s="56" t="s">
        <v>187</v>
      </c>
      <c r="D10" s="56" t="s">
        <v>4208</v>
      </c>
      <c r="E10" s="56">
        <v>2000</v>
      </c>
      <c r="F10" s="56" t="s">
        <v>5040</v>
      </c>
      <c r="G10" s="56" t="s">
        <v>188</v>
      </c>
      <c r="H10" s="56" t="s">
        <v>4211</v>
      </c>
      <c r="I10" s="56" t="s">
        <v>4212</v>
      </c>
      <c r="J10" s="56" t="s">
        <v>4213</v>
      </c>
      <c r="K10" s="56"/>
      <c r="L10" s="56"/>
    </row>
    <row r="11" spans="1:14" s="73" customFormat="1" ht="42.75" x14ac:dyDescent="0.2">
      <c r="A11" s="56" t="s">
        <v>189</v>
      </c>
      <c r="B11" s="56" t="s">
        <v>5039</v>
      </c>
      <c r="C11" s="56" t="s">
        <v>190</v>
      </c>
      <c r="D11" s="56" t="s">
        <v>4931</v>
      </c>
      <c r="E11" s="56" t="s">
        <v>11</v>
      </c>
      <c r="F11" s="56" t="s">
        <v>45</v>
      </c>
      <c r="G11" s="56" t="s">
        <v>191</v>
      </c>
      <c r="H11" s="56" t="s">
        <v>4214</v>
      </c>
      <c r="I11" s="56" t="s">
        <v>4927</v>
      </c>
      <c r="J11" s="56" t="s">
        <v>4215</v>
      </c>
      <c r="K11" s="56"/>
      <c r="L11" s="56" t="s">
        <v>192</v>
      </c>
    </row>
    <row r="12" spans="1:14" ht="42.75" x14ac:dyDescent="0.2">
      <c r="A12" s="56" t="s">
        <v>243</v>
      </c>
      <c r="B12" s="212" t="s">
        <v>4981</v>
      </c>
      <c r="C12" s="111" t="s">
        <v>4292</v>
      </c>
      <c r="D12" s="109" t="s">
        <v>4247</v>
      </c>
      <c r="E12" s="70">
        <v>1990</v>
      </c>
      <c r="F12" s="70"/>
      <c r="G12" s="70"/>
      <c r="H12" s="70"/>
      <c r="I12" s="109" t="s">
        <v>4102</v>
      </c>
      <c r="J12" s="109" t="s">
        <v>4248</v>
      </c>
      <c r="K12" s="70"/>
      <c r="L12" s="109" t="s">
        <v>4288</v>
      </c>
    </row>
    <row r="13" spans="1:14" ht="42.75" x14ac:dyDescent="0.2">
      <c r="A13" s="56" t="s">
        <v>244</v>
      </c>
      <c r="B13" s="202" t="s">
        <v>4982</v>
      </c>
      <c r="C13" s="111" t="s">
        <v>4291</v>
      </c>
      <c r="D13" s="109" t="s">
        <v>4247</v>
      </c>
      <c r="E13" s="70">
        <v>2000</v>
      </c>
      <c r="F13" s="70" t="s">
        <v>245</v>
      </c>
      <c r="G13" s="70" t="s">
        <v>246</v>
      </c>
      <c r="H13" s="109" t="s">
        <v>4249</v>
      </c>
      <c r="I13" s="109" t="s">
        <v>4178</v>
      </c>
      <c r="J13" s="109" t="s">
        <v>4250</v>
      </c>
      <c r="K13" s="70"/>
      <c r="L13" s="70"/>
    </row>
    <row r="14" spans="1:14" ht="42.75" x14ac:dyDescent="0.2">
      <c r="A14" s="56" t="s">
        <v>247</v>
      </c>
      <c r="B14" s="202" t="s">
        <v>4980</v>
      </c>
      <c r="C14" s="70" t="s">
        <v>248</v>
      </c>
      <c r="D14" s="109" t="s">
        <v>4247</v>
      </c>
      <c r="E14" s="70" t="s">
        <v>11</v>
      </c>
      <c r="F14" s="70" t="s">
        <v>46</v>
      </c>
      <c r="G14" s="59" t="s">
        <v>47</v>
      </c>
      <c r="H14" s="59" t="s">
        <v>4251</v>
      </c>
      <c r="I14" s="198" t="s">
        <v>4927</v>
      </c>
      <c r="J14" s="109" t="s">
        <v>4252</v>
      </c>
      <c r="K14" s="70"/>
      <c r="L14" s="59" t="s">
        <v>249</v>
      </c>
    </row>
    <row r="15" spans="1:14" ht="114" x14ac:dyDescent="0.2">
      <c r="A15" s="56" t="s">
        <v>71</v>
      </c>
      <c r="B15" s="105" t="s">
        <v>4106</v>
      </c>
      <c r="C15" s="70" t="s">
        <v>72</v>
      </c>
      <c r="D15" s="105" t="s">
        <v>4107</v>
      </c>
      <c r="E15" s="70" t="s">
        <v>55</v>
      </c>
      <c r="F15" s="70"/>
      <c r="G15" s="70"/>
      <c r="H15" s="70"/>
      <c r="I15" s="105" t="s">
        <v>4102</v>
      </c>
      <c r="J15" s="70" t="s">
        <v>4105</v>
      </c>
      <c r="K15" s="70"/>
      <c r="L15" s="70"/>
    </row>
    <row r="16" spans="1:14" ht="28.5" x14ac:dyDescent="0.2">
      <c r="A16" s="56" t="s">
        <v>73</v>
      </c>
      <c r="B16" s="198" t="s">
        <v>4895</v>
      </c>
      <c r="C16" s="56" t="s">
        <v>74</v>
      </c>
      <c r="D16" s="56" t="s">
        <v>4114</v>
      </c>
      <c r="E16" s="70" t="s">
        <v>64</v>
      </c>
      <c r="F16" s="70"/>
      <c r="G16" s="70"/>
      <c r="H16" s="70"/>
      <c r="I16" s="105" t="s">
        <v>4108</v>
      </c>
      <c r="J16" s="105" t="s">
        <v>4109</v>
      </c>
      <c r="K16" s="70"/>
      <c r="L16" s="70"/>
    </row>
    <row r="17" spans="1:12" ht="71.25" x14ac:dyDescent="0.2">
      <c r="A17" s="56" t="s">
        <v>75</v>
      </c>
      <c r="B17" s="198" t="s">
        <v>4896</v>
      </c>
      <c r="C17" s="56" t="s">
        <v>74</v>
      </c>
      <c r="D17" s="56" t="s">
        <v>4114</v>
      </c>
      <c r="E17" s="70" t="s">
        <v>64</v>
      </c>
      <c r="F17" s="70"/>
      <c r="G17" s="70"/>
      <c r="H17" s="70"/>
      <c r="I17" s="105" t="s">
        <v>4922</v>
      </c>
      <c r="J17" s="105" t="s">
        <v>4923</v>
      </c>
      <c r="K17" s="70"/>
      <c r="L17" s="70"/>
    </row>
    <row r="18" spans="1:12" ht="99.75" x14ac:dyDescent="0.2">
      <c r="A18" s="56" t="s">
        <v>76</v>
      </c>
      <c r="B18" s="198" t="s">
        <v>4897</v>
      </c>
      <c r="C18" s="70" t="s">
        <v>77</v>
      </c>
      <c r="D18" s="198" t="s">
        <v>4898</v>
      </c>
      <c r="E18" s="70"/>
      <c r="F18" s="70"/>
      <c r="G18" s="70"/>
      <c r="H18" s="70"/>
      <c r="I18" s="105" t="s">
        <v>4102</v>
      </c>
      <c r="J18" s="105" t="s">
        <v>4110</v>
      </c>
      <c r="K18" s="70"/>
      <c r="L18" s="70"/>
    </row>
    <row r="19" spans="1:12" ht="213.75" x14ac:dyDescent="0.2">
      <c r="A19" s="56" t="s">
        <v>78</v>
      </c>
      <c r="B19" s="198" t="s">
        <v>4899</v>
      </c>
      <c r="C19" s="70" t="s">
        <v>79</v>
      </c>
      <c r="D19" s="105" t="s">
        <v>4111</v>
      </c>
      <c r="E19" s="70"/>
      <c r="F19" s="70"/>
      <c r="G19" s="70"/>
      <c r="H19" s="70"/>
      <c r="I19" s="105" t="s">
        <v>4102</v>
      </c>
      <c r="J19" s="105" t="s">
        <v>4112</v>
      </c>
      <c r="K19" s="70"/>
      <c r="L19" s="70"/>
    </row>
    <row r="20" spans="1:12" ht="71.25" x14ac:dyDescent="0.2">
      <c r="A20" s="56" t="s">
        <v>80</v>
      </c>
      <c r="B20" s="198" t="s">
        <v>4900</v>
      </c>
      <c r="C20" s="70" t="s">
        <v>74</v>
      </c>
      <c r="D20" s="56" t="s">
        <v>4114</v>
      </c>
      <c r="E20" s="70"/>
      <c r="F20" s="70"/>
      <c r="G20" s="70"/>
      <c r="H20" s="70"/>
      <c r="I20" s="105" t="s">
        <v>4102</v>
      </c>
      <c r="J20" s="105" t="s">
        <v>4924</v>
      </c>
      <c r="K20" s="70"/>
      <c r="L20" s="70"/>
    </row>
    <row r="21" spans="1:12" ht="142.5" x14ac:dyDescent="0.2">
      <c r="A21" s="56" t="s">
        <v>81</v>
      </c>
      <c r="B21" s="198" t="s">
        <v>4901</v>
      </c>
      <c r="C21" s="70" t="s">
        <v>82</v>
      </c>
      <c r="D21" s="198" t="s">
        <v>4902</v>
      </c>
      <c r="E21" s="70"/>
      <c r="F21" s="70"/>
      <c r="G21" s="70"/>
      <c r="H21" s="70"/>
      <c r="I21" s="105" t="s">
        <v>4102</v>
      </c>
      <c r="J21" s="105" t="s">
        <v>4113</v>
      </c>
      <c r="K21" s="70"/>
      <c r="L21" s="70"/>
    </row>
    <row r="22" spans="1:12" ht="28.5" x14ac:dyDescent="0.2">
      <c r="A22" s="56" t="s">
        <v>4890</v>
      </c>
      <c r="B22" s="56" t="s">
        <v>4891</v>
      </c>
      <c r="C22" s="56" t="s">
        <v>57</v>
      </c>
      <c r="D22" s="56" t="s">
        <v>4903</v>
      </c>
      <c r="E22" s="56"/>
      <c r="F22" s="55" t="s">
        <v>4904</v>
      </c>
      <c r="G22" s="57" t="s">
        <v>4905</v>
      </c>
      <c r="H22" s="55" t="s">
        <v>4906</v>
      </c>
      <c r="I22" s="55" t="s">
        <v>4929</v>
      </c>
      <c r="J22" s="56" t="s">
        <v>4115</v>
      </c>
      <c r="K22" s="56"/>
      <c r="L22" s="57" t="s">
        <v>83</v>
      </c>
    </row>
    <row r="23" spans="1:12" x14ac:dyDescent="0.2">
      <c r="A23" s="56" t="s">
        <v>86</v>
      </c>
      <c r="B23" s="105" t="s">
        <v>4116</v>
      </c>
      <c r="C23" s="70" t="s">
        <v>57</v>
      </c>
      <c r="D23" s="105" t="s">
        <v>4117</v>
      </c>
      <c r="E23" s="70" t="s">
        <v>64</v>
      </c>
      <c r="F23" s="70"/>
      <c r="G23" s="70"/>
      <c r="H23" s="70"/>
      <c r="I23" s="70" t="s">
        <v>4925</v>
      </c>
      <c r="J23" s="105" t="s">
        <v>4118</v>
      </c>
      <c r="K23" s="70"/>
      <c r="L23" s="70"/>
    </row>
    <row r="24" spans="1:12" x14ac:dyDescent="0.2">
      <c r="A24" s="56" t="s">
        <v>87</v>
      </c>
      <c r="B24" s="70" t="s">
        <v>88</v>
      </c>
      <c r="C24" s="70" t="s">
        <v>74</v>
      </c>
      <c r="D24" s="56" t="s">
        <v>4114</v>
      </c>
      <c r="E24" s="70" t="s">
        <v>11</v>
      </c>
      <c r="F24" s="70" t="s">
        <v>54</v>
      </c>
      <c r="G24" s="70" t="s">
        <v>74</v>
      </c>
      <c r="H24" s="70" t="s">
        <v>85</v>
      </c>
      <c r="I24" s="198" t="s">
        <v>4926</v>
      </c>
      <c r="J24" s="105" t="s">
        <v>4119</v>
      </c>
      <c r="K24" s="70"/>
      <c r="L24" s="70"/>
    </row>
    <row r="25" spans="1:12" ht="28.5" x14ac:dyDescent="0.2">
      <c r="A25" s="56" t="s">
        <v>26</v>
      </c>
      <c r="B25" s="70" t="s">
        <v>28</v>
      </c>
      <c r="C25" s="70" t="s">
        <v>89</v>
      </c>
      <c r="D25" s="105" t="s">
        <v>4120</v>
      </c>
      <c r="E25" s="70" t="s">
        <v>64</v>
      </c>
      <c r="F25" s="70" t="s">
        <v>26</v>
      </c>
      <c r="G25" s="70" t="s">
        <v>91</v>
      </c>
      <c r="H25" s="105" t="s">
        <v>90</v>
      </c>
      <c r="I25" s="198" t="s">
        <v>4927</v>
      </c>
      <c r="J25" s="105" t="s">
        <v>4121</v>
      </c>
      <c r="K25" s="70"/>
      <c r="L25" s="70" t="s">
        <v>92</v>
      </c>
    </row>
    <row r="26" spans="1:12" ht="42.75" x14ac:dyDescent="0.2">
      <c r="A26" s="56" t="s">
        <v>93</v>
      </c>
      <c r="B26" s="105" t="s">
        <v>4122</v>
      </c>
      <c r="C26" s="70" t="s">
        <v>94</v>
      </c>
      <c r="D26" s="56" t="s">
        <v>4123</v>
      </c>
      <c r="E26" s="70" t="s">
        <v>11</v>
      </c>
      <c r="F26" s="70" t="s">
        <v>21</v>
      </c>
      <c r="G26" s="70" t="s">
        <v>74</v>
      </c>
      <c r="H26" s="70" t="s">
        <v>85</v>
      </c>
      <c r="I26" s="198" t="s">
        <v>4927</v>
      </c>
      <c r="J26" s="105" t="s">
        <v>4124</v>
      </c>
      <c r="K26" s="70"/>
      <c r="L26" s="70"/>
    </row>
    <row r="27" spans="1:12" ht="42.75" x14ac:dyDescent="0.2">
      <c r="A27" s="56" t="s">
        <v>95</v>
      </c>
      <c r="B27" s="105" t="s">
        <v>4125</v>
      </c>
      <c r="C27" s="70" t="s">
        <v>96</v>
      </c>
      <c r="D27" s="198" t="s">
        <v>4907</v>
      </c>
      <c r="E27" s="70" t="s">
        <v>97</v>
      </c>
      <c r="F27" s="70"/>
      <c r="G27" s="70"/>
      <c r="H27" s="70"/>
      <c r="I27" s="70" t="s">
        <v>4102</v>
      </c>
      <c r="J27" s="105" t="s">
        <v>4126</v>
      </c>
      <c r="K27" s="70"/>
      <c r="L27" s="70"/>
    </row>
    <row r="28" spans="1:12" ht="42.75" x14ac:dyDescent="0.2">
      <c r="A28" s="56" t="s">
        <v>100</v>
      </c>
      <c r="B28" s="105" t="s">
        <v>4128</v>
      </c>
      <c r="C28" s="70" t="s">
        <v>79</v>
      </c>
      <c r="D28" s="105" t="s">
        <v>4129</v>
      </c>
      <c r="E28" s="70" t="s">
        <v>64</v>
      </c>
      <c r="F28" s="70" t="s">
        <v>101</v>
      </c>
      <c r="G28" s="70" t="s">
        <v>79</v>
      </c>
      <c r="H28" s="105" t="s">
        <v>4129</v>
      </c>
      <c r="I28" s="105" t="s">
        <v>4925</v>
      </c>
      <c r="J28" s="70"/>
      <c r="K28" s="70"/>
      <c r="L28" s="70"/>
    </row>
    <row r="29" spans="1:12" ht="71.25" x14ac:dyDescent="0.2">
      <c r="A29" s="56" t="s">
        <v>102</v>
      </c>
      <c r="B29" s="105" t="s">
        <v>25</v>
      </c>
      <c r="C29" s="70" t="s">
        <v>103</v>
      </c>
      <c r="D29" s="105" t="s">
        <v>4130</v>
      </c>
      <c r="E29" s="70"/>
      <c r="F29" s="70" t="s">
        <v>104</v>
      </c>
      <c r="G29" s="70" t="s">
        <v>105</v>
      </c>
      <c r="H29" s="55" t="s">
        <v>4131</v>
      </c>
      <c r="I29" s="198" t="s">
        <v>4927</v>
      </c>
      <c r="J29" s="105" t="s">
        <v>4132</v>
      </c>
      <c r="K29" s="106" t="s">
        <v>4133</v>
      </c>
      <c r="L29" s="57" t="s">
        <v>106</v>
      </c>
    </row>
    <row r="30" spans="1:12" ht="31.5" x14ac:dyDescent="0.2">
      <c r="A30" s="56" t="s">
        <v>107</v>
      </c>
      <c r="B30" s="198" t="s">
        <v>4941</v>
      </c>
      <c r="C30" s="71" t="s">
        <v>108</v>
      </c>
      <c r="D30" s="70"/>
      <c r="E30" s="70" t="s">
        <v>109</v>
      </c>
      <c r="F30" s="70" t="s">
        <v>110</v>
      </c>
      <c r="G30" s="57" t="s">
        <v>111</v>
      </c>
      <c r="H30" s="55" t="s">
        <v>4134</v>
      </c>
      <c r="I30" s="105" t="s">
        <v>4135</v>
      </c>
      <c r="J30" s="105" t="s">
        <v>4136</v>
      </c>
      <c r="K30" s="107" t="s">
        <v>4137</v>
      </c>
      <c r="L30" s="57" t="s">
        <v>112</v>
      </c>
    </row>
    <row r="31" spans="1:12" ht="57" x14ac:dyDescent="0.2">
      <c r="A31" s="56" t="s">
        <v>113</v>
      </c>
      <c r="B31" s="198" t="s">
        <v>4942</v>
      </c>
      <c r="C31" s="71" t="s">
        <v>114</v>
      </c>
      <c r="D31" s="105" t="s">
        <v>4138</v>
      </c>
      <c r="E31" s="70">
        <v>2006</v>
      </c>
      <c r="F31" s="70" t="s">
        <v>43</v>
      </c>
      <c r="G31" s="57" t="s">
        <v>115</v>
      </c>
      <c r="H31" s="59" t="s">
        <v>4139</v>
      </c>
      <c r="I31" s="198" t="s">
        <v>4928</v>
      </c>
      <c r="J31" s="105" t="s">
        <v>4140</v>
      </c>
      <c r="K31" s="107" t="s">
        <v>4137</v>
      </c>
      <c r="L31" s="57" t="s">
        <v>116</v>
      </c>
    </row>
    <row r="32" spans="1:12" ht="42.75" x14ac:dyDescent="0.2">
      <c r="A32" s="56" t="s">
        <v>117</v>
      </c>
      <c r="B32" s="198" t="s">
        <v>4943</v>
      </c>
      <c r="C32" s="71" t="s">
        <v>118</v>
      </c>
      <c r="D32" s="105" t="s">
        <v>4141</v>
      </c>
      <c r="E32" s="70" t="s">
        <v>11</v>
      </c>
      <c r="F32" s="70" t="s">
        <v>35</v>
      </c>
      <c r="G32" s="57" t="s">
        <v>111</v>
      </c>
      <c r="H32" s="55" t="s">
        <v>4134</v>
      </c>
      <c r="I32" s="198" t="s">
        <v>4927</v>
      </c>
      <c r="J32" s="105" t="s">
        <v>4142</v>
      </c>
      <c r="K32" s="107" t="s">
        <v>4137</v>
      </c>
      <c r="L32" s="57" t="s">
        <v>112</v>
      </c>
    </row>
    <row r="33" spans="1:12" ht="42.75" x14ac:dyDescent="0.2">
      <c r="A33" s="56" t="s">
        <v>119</v>
      </c>
      <c r="B33" s="109" t="s">
        <v>4274</v>
      </c>
      <c r="C33" s="71" t="s">
        <v>118</v>
      </c>
      <c r="D33" s="105" t="s">
        <v>4141</v>
      </c>
      <c r="E33" s="70" t="s">
        <v>64</v>
      </c>
      <c r="F33" s="70" t="s">
        <v>120</v>
      </c>
      <c r="G33" s="57" t="s">
        <v>111</v>
      </c>
      <c r="H33" s="55" t="s">
        <v>4134</v>
      </c>
      <c r="I33" s="105" t="s">
        <v>4925</v>
      </c>
      <c r="J33" s="105" t="s">
        <v>4143</v>
      </c>
      <c r="K33" s="107" t="s">
        <v>4137</v>
      </c>
      <c r="L33" s="57" t="s">
        <v>112</v>
      </c>
    </row>
    <row r="34" spans="1:12" ht="42.75" x14ac:dyDescent="0.2">
      <c r="A34" s="56" t="s">
        <v>121</v>
      </c>
      <c r="B34" s="105" t="s">
        <v>4144</v>
      </c>
      <c r="C34" s="70" t="s">
        <v>122</v>
      </c>
      <c r="D34" s="105" t="s">
        <v>4145</v>
      </c>
      <c r="E34" s="70">
        <v>2011</v>
      </c>
      <c r="F34" s="70" t="s">
        <v>123</v>
      </c>
      <c r="G34" s="56" t="s">
        <v>124</v>
      </c>
      <c r="H34" s="60" t="s">
        <v>4146</v>
      </c>
      <c r="I34" s="198" t="s">
        <v>4928</v>
      </c>
      <c r="J34" s="105" t="s">
        <v>4140</v>
      </c>
      <c r="K34" s="70"/>
      <c r="L34" s="105" t="s">
        <v>4147</v>
      </c>
    </row>
    <row r="35" spans="1:12" ht="42.75" x14ac:dyDescent="0.2">
      <c r="A35" s="56" t="s">
        <v>125</v>
      </c>
      <c r="B35" s="105" t="s">
        <v>4148</v>
      </c>
      <c r="C35" s="70" t="s">
        <v>79</v>
      </c>
      <c r="D35" s="105" t="s">
        <v>4149</v>
      </c>
      <c r="E35" s="70">
        <v>2011</v>
      </c>
      <c r="F35" s="70"/>
      <c r="G35" s="70"/>
      <c r="H35" s="70"/>
      <c r="I35" s="105" t="s">
        <v>4102</v>
      </c>
      <c r="J35" s="105" t="s">
        <v>4150</v>
      </c>
      <c r="K35" s="70"/>
      <c r="L35" s="70"/>
    </row>
    <row r="36" spans="1:12" ht="42.75" x14ac:dyDescent="0.2">
      <c r="A36" s="56" t="s">
        <v>126</v>
      </c>
      <c r="B36" s="105" t="s">
        <v>4151</v>
      </c>
      <c r="C36" s="70" t="s">
        <v>127</v>
      </c>
      <c r="D36" s="105" t="s">
        <v>4152</v>
      </c>
      <c r="E36" s="70">
        <v>2011</v>
      </c>
      <c r="F36" s="70" t="s">
        <v>39</v>
      </c>
      <c r="G36" s="56" t="s">
        <v>32</v>
      </c>
      <c r="H36" s="60" t="s">
        <v>4153</v>
      </c>
      <c r="I36" s="198" t="s">
        <v>4928</v>
      </c>
      <c r="J36" s="105" t="s">
        <v>4140</v>
      </c>
      <c r="K36" s="70"/>
      <c r="L36" s="56" t="s">
        <v>128</v>
      </c>
    </row>
    <row r="37" spans="1:12" ht="384.75" x14ac:dyDescent="0.2">
      <c r="A37" s="56" t="s">
        <v>4947</v>
      </c>
      <c r="B37" s="198" t="s">
        <v>4948</v>
      </c>
      <c r="C37" s="70" t="s">
        <v>129</v>
      </c>
      <c r="D37" s="105" t="s">
        <v>4154</v>
      </c>
      <c r="E37" s="198" t="s">
        <v>14</v>
      </c>
      <c r="F37" s="70" t="s">
        <v>130</v>
      </c>
      <c r="G37" s="70" t="s">
        <v>131</v>
      </c>
      <c r="H37" s="105" t="s">
        <v>4155</v>
      </c>
      <c r="I37" s="198" t="s">
        <v>4108</v>
      </c>
      <c r="J37" s="198" t="s">
        <v>4949</v>
      </c>
      <c r="K37" s="107" t="s">
        <v>4161</v>
      </c>
      <c r="L37" s="70"/>
    </row>
    <row r="38" spans="1:12" ht="71.25" x14ac:dyDescent="0.2">
      <c r="A38" s="56" t="s">
        <v>4950</v>
      </c>
      <c r="B38" s="198" t="s">
        <v>4951</v>
      </c>
      <c r="C38" s="70" t="s">
        <v>132</v>
      </c>
      <c r="D38" s="105" t="s">
        <v>4156</v>
      </c>
      <c r="E38" s="198" t="s">
        <v>14</v>
      </c>
      <c r="F38" s="105" t="s">
        <v>4157</v>
      </c>
      <c r="G38" s="70" t="s">
        <v>40</v>
      </c>
      <c r="H38" s="105" t="s">
        <v>4158</v>
      </c>
      <c r="I38" s="105" t="s">
        <v>4159</v>
      </c>
      <c r="J38" s="105" t="s">
        <v>4160</v>
      </c>
      <c r="K38" s="107" t="s">
        <v>4161</v>
      </c>
      <c r="L38" s="70"/>
    </row>
    <row r="39" spans="1:12" ht="57" x14ac:dyDescent="0.2">
      <c r="A39" s="56" t="s">
        <v>4952</v>
      </c>
      <c r="B39" s="198" t="s">
        <v>4953</v>
      </c>
      <c r="C39" s="70" t="s">
        <v>133</v>
      </c>
      <c r="D39" s="105" t="s">
        <v>4162</v>
      </c>
      <c r="E39" s="198" t="s">
        <v>14</v>
      </c>
      <c r="F39" s="105" t="s">
        <v>4163</v>
      </c>
      <c r="G39" s="70" t="s">
        <v>40</v>
      </c>
      <c r="H39" s="105" t="s">
        <v>4164</v>
      </c>
      <c r="I39" s="105" t="s">
        <v>4159</v>
      </c>
      <c r="J39" s="105" t="s">
        <v>4166</v>
      </c>
      <c r="K39" s="107" t="s">
        <v>4161</v>
      </c>
      <c r="L39" s="70" t="s">
        <v>134</v>
      </c>
    </row>
    <row r="40" spans="1:12" ht="384.75" x14ac:dyDescent="0.2">
      <c r="A40" s="56" t="s">
        <v>135</v>
      </c>
      <c r="B40" s="198" t="s">
        <v>4944</v>
      </c>
      <c r="C40" s="70" t="s">
        <v>129</v>
      </c>
      <c r="D40" s="105" t="s">
        <v>4154</v>
      </c>
      <c r="E40" s="70" t="s">
        <v>11</v>
      </c>
      <c r="F40" s="70"/>
      <c r="G40" s="70" t="s">
        <v>129</v>
      </c>
      <c r="H40" s="105" t="s">
        <v>4154</v>
      </c>
      <c r="I40" s="105" t="s">
        <v>4159</v>
      </c>
      <c r="J40" s="105" t="s">
        <v>4165</v>
      </c>
      <c r="K40" s="107" t="s">
        <v>4161</v>
      </c>
      <c r="L40" s="70"/>
    </row>
    <row r="41" spans="1:12" ht="71.25" x14ac:dyDescent="0.2">
      <c r="A41" s="56" t="s">
        <v>136</v>
      </c>
      <c r="B41" s="198" t="s">
        <v>4945</v>
      </c>
      <c r="C41" s="70" t="s">
        <v>132</v>
      </c>
      <c r="D41" s="105" t="s">
        <v>4156</v>
      </c>
      <c r="E41" s="70">
        <v>2006</v>
      </c>
      <c r="F41" s="105" t="s">
        <v>4157</v>
      </c>
      <c r="G41" s="70" t="s">
        <v>40</v>
      </c>
      <c r="H41" s="105" t="s">
        <v>4158</v>
      </c>
      <c r="I41" s="105" t="s">
        <v>4159</v>
      </c>
      <c r="J41" s="105" t="s">
        <v>4168</v>
      </c>
      <c r="K41" s="107" t="s">
        <v>4161</v>
      </c>
      <c r="L41" s="70"/>
    </row>
    <row r="42" spans="1:12" ht="57" x14ac:dyDescent="0.2">
      <c r="A42" s="56" t="s">
        <v>137</v>
      </c>
      <c r="B42" s="198" t="s">
        <v>4946</v>
      </c>
      <c r="C42" s="70" t="s">
        <v>133</v>
      </c>
      <c r="D42" s="105" t="s">
        <v>4162</v>
      </c>
      <c r="E42" s="70">
        <v>2006</v>
      </c>
      <c r="F42" s="105" t="s">
        <v>4163</v>
      </c>
      <c r="G42" s="70" t="s">
        <v>40</v>
      </c>
      <c r="H42" s="105" t="s">
        <v>4164</v>
      </c>
      <c r="I42" s="105" t="s">
        <v>4159</v>
      </c>
      <c r="J42" s="105" t="s">
        <v>4167</v>
      </c>
      <c r="K42" s="107" t="s">
        <v>4161</v>
      </c>
      <c r="L42" s="70" t="s">
        <v>134</v>
      </c>
    </row>
    <row r="43" spans="1:12" ht="142.5" x14ac:dyDescent="0.2">
      <c r="A43" s="56" t="s">
        <v>138</v>
      </c>
      <c r="B43" s="198" t="s">
        <v>4954</v>
      </c>
      <c r="C43" s="70" t="s">
        <v>139</v>
      </c>
      <c r="D43" s="105" t="s">
        <v>4169</v>
      </c>
      <c r="E43" s="198" t="s">
        <v>109</v>
      </c>
      <c r="F43" s="56" t="s">
        <v>140</v>
      </c>
      <c r="G43" s="56" t="s">
        <v>141</v>
      </c>
      <c r="H43" s="56" t="s">
        <v>4177</v>
      </c>
      <c r="I43" s="105" t="s">
        <v>4170</v>
      </c>
      <c r="J43" s="105" t="s">
        <v>4171</v>
      </c>
      <c r="K43" s="61"/>
      <c r="L43" s="56" t="s">
        <v>4172</v>
      </c>
    </row>
    <row r="44" spans="1:12" ht="156.75" x14ac:dyDescent="0.2">
      <c r="A44" s="56" t="s">
        <v>142</v>
      </c>
      <c r="B44" s="198" t="s">
        <v>4955</v>
      </c>
      <c r="C44" s="70" t="s">
        <v>139</v>
      </c>
      <c r="D44" s="105" t="s">
        <v>4169</v>
      </c>
      <c r="E44" s="70" t="s">
        <v>11</v>
      </c>
      <c r="F44" s="70" t="s">
        <v>29</v>
      </c>
      <c r="G44" s="57" t="s">
        <v>30</v>
      </c>
      <c r="H44" s="55" t="s">
        <v>4173</v>
      </c>
      <c r="I44" s="198" t="s">
        <v>4927</v>
      </c>
      <c r="J44" s="105" t="s">
        <v>4176</v>
      </c>
      <c r="K44" s="70"/>
      <c r="L44" s="56" t="s">
        <v>4174</v>
      </c>
    </row>
    <row r="45" spans="1:12" ht="156.75" x14ac:dyDescent="0.2">
      <c r="A45" s="56" t="s">
        <v>143</v>
      </c>
      <c r="B45" s="105" t="s">
        <v>4175</v>
      </c>
      <c r="C45" s="70" t="s">
        <v>139</v>
      </c>
      <c r="D45" s="105" t="s">
        <v>4169</v>
      </c>
      <c r="E45" s="70" t="s">
        <v>144</v>
      </c>
      <c r="F45" s="70" t="s">
        <v>145</v>
      </c>
      <c r="G45" s="57" t="s">
        <v>30</v>
      </c>
      <c r="H45" s="55" t="s">
        <v>4173</v>
      </c>
      <c r="I45" s="198" t="s">
        <v>4925</v>
      </c>
      <c r="J45" s="108" t="s">
        <v>4176</v>
      </c>
      <c r="K45" s="70"/>
      <c r="L45" s="56" t="s">
        <v>4296</v>
      </c>
    </row>
    <row r="46" spans="1:12" ht="42.75" x14ac:dyDescent="0.2">
      <c r="A46" s="56" t="s">
        <v>146</v>
      </c>
      <c r="B46" s="198" t="s">
        <v>4956</v>
      </c>
      <c r="C46" s="70" t="s">
        <v>147</v>
      </c>
      <c r="D46" s="105" t="s">
        <v>4180</v>
      </c>
      <c r="E46" s="70" t="s">
        <v>11</v>
      </c>
      <c r="F46" s="70" t="s">
        <v>31</v>
      </c>
      <c r="G46" s="62" t="s">
        <v>148</v>
      </c>
      <c r="H46" s="60" t="s">
        <v>4153</v>
      </c>
      <c r="I46" s="198" t="s">
        <v>4927</v>
      </c>
      <c r="J46" s="105" t="s">
        <v>4181</v>
      </c>
      <c r="K46" s="70"/>
      <c r="L46" s="56" t="s">
        <v>4281</v>
      </c>
    </row>
    <row r="47" spans="1:12" ht="28.5" x14ac:dyDescent="0.2">
      <c r="A47" s="56" t="s">
        <v>149</v>
      </c>
      <c r="B47" s="198" t="s">
        <v>4957</v>
      </c>
      <c r="C47" s="70" t="s">
        <v>127</v>
      </c>
      <c r="D47" s="105" t="s">
        <v>4152</v>
      </c>
      <c r="E47" s="70" t="s">
        <v>144</v>
      </c>
      <c r="F47" s="70" t="s">
        <v>150</v>
      </c>
      <c r="G47" s="70" t="s">
        <v>74</v>
      </c>
      <c r="H47" s="70" t="s">
        <v>85</v>
      </c>
      <c r="I47" s="105" t="s">
        <v>4925</v>
      </c>
      <c r="J47" s="105" t="s">
        <v>4182</v>
      </c>
      <c r="K47" s="70"/>
      <c r="L47" s="70"/>
    </row>
    <row r="48" spans="1:12" ht="28.5" x14ac:dyDescent="0.2">
      <c r="A48" s="56" t="s">
        <v>151</v>
      </c>
      <c r="B48" s="198" t="s">
        <v>4958</v>
      </c>
      <c r="C48" s="70" t="s">
        <v>127</v>
      </c>
      <c r="D48" s="105" t="s">
        <v>4152</v>
      </c>
      <c r="E48" s="70" t="s">
        <v>144</v>
      </c>
      <c r="F48" s="70" t="s">
        <v>152</v>
      </c>
      <c r="G48" s="70" t="s">
        <v>74</v>
      </c>
      <c r="H48" s="70" t="s">
        <v>85</v>
      </c>
      <c r="I48" s="105" t="s">
        <v>4925</v>
      </c>
      <c r="J48" s="105" t="s">
        <v>4183</v>
      </c>
      <c r="K48" s="70"/>
      <c r="L48" s="70"/>
    </row>
    <row r="49" spans="1:12" ht="42.75" x14ac:dyDescent="0.2">
      <c r="A49" s="56" t="s">
        <v>153</v>
      </c>
      <c r="B49" s="198" t="s">
        <v>4959</v>
      </c>
      <c r="C49" s="70" t="s">
        <v>147</v>
      </c>
      <c r="D49" s="105" t="s">
        <v>4180</v>
      </c>
      <c r="E49" s="70" t="s">
        <v>11</v>
      </c>
      <c r="F49" s="70" t="s">
        <v>33</v>
      </c>
      <c r="G49" s="62" t="s">
        <v>32</v>
      </c>
      <c r="H49" s="60" t="s">
        <v>4153</v>
      </c>
      <c r="I49" s="198" t="s">
        <v>4927</v>
      </c>
      <c r="J49" s="105" t="s">
        <v>4184</v>
      </c>
      <c r="K49" s="70"/>
      <c r="L49" s="56" t="s">
        <v>154</v>
      </c>
    </row>
    <row r="50" spans="1:12" ht="57" x14ac:dyDescent="0.2">
      <c r="A50" s="56" t="s">
        <v>155</v>
      </c>
      <c r="B50" s="105" t="s">
        <v>4185</v>
      </c>
      <c r="C50" s="70" t="s">
        <v>127</v>
      </c>
      <c r="D50" s="105" t="s">
        <v>4152</v>
      </c>
      <c r="E50" s="70" t="s">
        <v>144</v>
      </c>
      <c r="F50" s="70" t="s">
        <v>156</v>
      </c>
      <c r="G50" s="62" t="s">
        <v>157</v>
      </c>
      <c r="H50" s="60" t="s">
        <v>4186</v>
      </c>
      <c r="I50" s="198" t="s">
        <v>4927</v>
      </c>
      <c r="J50" s="105" t="s">
        <v>4187</v>
      </c>
      <c r="K50" s="70"/>
      <c r="L50" s="62" t="s">
        <v>158</v>
      </c>
    </row>
    <row r="51" spans="1:12" ht="156.75" x14ac:dyDescent="0.2">
      <c r="A51" s="56" t="s">
        <v>159</v>
      </c>
      <c r="B51" s="198" t="s">
        <v>4960</v>
      </c>
      <c r="C51" s="70" t="s">
        <v>160</v>
      </c>
      <c r="D51" s="105" t="s">
        <v>4196</v>
      </c>
      <c r="E51" s="70">
        <v>1990</v>
      </c>
      <c r="F51" s="70" t="s">
        <v>161</v>
      </c>
      <c r="G51" s="70" t="s">
        <v>162</v>
      </c>
      <c r="H51" s="55" t="s">
        <v>4195</v>
      </c>
      <c r="I51" s="105" t="s">
        <v>4189</v>
      </c>
      <c r="J51" s="105" t="s">
        <v>4179</v>
      </c>
      <c r="K51" s="106" t="s">
        <v>4133</v>
      </c>
      <c r="L51" s="105" t="s">
        <v>4190</v>
      </c>
    </row>
    <row r="52" spans="1:12" ht="156.75" x14ac:dyDescent="0.2">
      <c r="A52" s="56" t="s">
        <v>163</v>
      </c>
      <c r="B52" s="198" t="s">
        <v>4961</v>
      </c>
      <c r="C52" s="70" t="s">
        <v>164</v>
      </c>
      <c r="D52" s="105" t="s">
        <v>4197</v>
      </c>
      <c r="E52" s="70">
        <v>2000</v>
      </c>
      <c r="F52" s="70" t="s">
        <v>165</v>
      </c>
      <c r="G52" s="70" t="s">
        <v>166</v>
      </c>
      <c r="H52" s="55" t="s">
        <v>4194</v>
      </c>
      <c r="I52" s="105" t="s">
        <v>4191</v>
      </c>
      <c r="J52" s="105" t="s">
        <v>4179</v>
      </c>
      <c r="K52" s="106" t="s">
        <v>4133</v>
      </c>
      <c r="L52" s="56" t="s">
        <v>4192</v>
      </c>
    </row>
    <row r="53" spans="1:12" ht="99.75" x14ac:dyDescent="0.2">
      <c r="A53" s="56" t="s">
        <v>167</v>
      </c>
      <c r="B53" s="198" t="s">
        <v>4962</v>
      </c>
      <c r="C53" s="70" t="s">
        <v>164</v>
      </c>
      <c r="D53" s="105" t="s">
        <v>4198</v>
      </c>
      <c r="E53" s="70" t="s">
        <v>11</v>
      </c>
      <c r="F53" s="70" t="s">
        <v>34</v>
      </c>
      <c r="G53" s="70" t="s">
        <v>105</v>
      </c>
      <c r="H53" s="55" t="s">
        <v>4193</v>
      </c>
      <c r="I53" s="198" t="s">
        <v>4927</v>
      </c>
      <c r="J53" s="105" t="s">
        <v>4179</v>
      </c>
      <c r="K53" s="106" t="s">
        <v>4133</v>
      </c>
      <c r="L53" s="57" t="s">
        <v>4199</v>
      </c>
    </row>
    <row r="54" spans="1:12" ht="99.75" x14ac:dyDescent="0.2">
      <c r="A54" s="56" t="s">
        <v>168</v>
      </c>
      <c r="B54" s="105" t="s">
        <v>4200</v>
      </c>
      <c r="C54" s="70" t="s">
        <v>164</v>
      </c>
      <c r="D54" s="56" t="s">
        <v>4201</v>
      </c>
      <c r="E54" s="70" t="s">
        <v>144</v>
      </c>
      <c r="F54" s="70" t="s">
        <v>169</v>
      </c>
      <c r="G54" s="70" t="s">
        <v>105</v>
      </c>
      <c r="H54" s="55" t="s">
        <v>4193</v>
      </c>
      <c r="I54" s="105" t="s">
        <v>4925</v>
      </c>
      <c r="J54" s="105" t="s">
        <v>4202</v>
      </c>
      <c r="K54" s="106" t="s">
        <v>4133</v>
      </c>
      <c r="L54" s="57" t="s">
        <v>4199</v>
      </c>
    </row>
    <row r="55" spans="1:12" ht="408.75" customHeight="1" x14ac:dyDescent="0.2">
      <c r="A55" s="56" t="s">
        <v>170</v>
      </c>
      <c r="B55" s="198" t="s">
        <v>4963</v>
      </c>
      <c r="C55" s="70" t="s">
        <v>171</v>
      </c>
      <c r="D55" s="111" t="s">
        <v>4275</v>
      </c>
      <c r="E55" s="70">
        <v>1990</v>
      </c>
      <c r="F55" s="70" t="s">
        <v>172</v>
      </c>
      <c r="G55" s="63" t="s">
        <v>173</v>
      </c>
      <c r="H55" s="60" t="s">
        <v>4276</v>
      </c>
      <c r="I55" s="105" t="s">
        <v>4189</v>
      </c>
      <c r="J55" s="105" t="s">
        <v>4203</v>
      </c>
      <c r="K55" s="70"/>
      <c r="L55" s="63" t="s">
        <v>4278</v>
      </c>
    </row>
    <row r="56" spans="1:12" ht="327.75" x14ac:dyDescent="0.2">
      <c r="A56" s="56" t="s">
        <v>174</v>
      </c>
      <c r="B56" s="198" t="s">
        <v>4964</v>
      </c>
      <c r="C56" s="70" t="s">
        <v>171</v>
      </c>
      <c r="D56" s="111" t="s">
        <v>4293</v>
      </c>
      <c r="E56" s="70">
        <v>2000</v>
      </c>
      <c r="F56" s="70" t="s">
        <v>175</v>
      </c>
      <c r="G56" s="63" t="s">
        <v>176</v>
      </c>
      <c r="H56" s="60" t="s">
        <v>4277</v>
      </c>
      <c r="I56" s="105" t="s">
        <v>4191</v>
      </c>
      <c r="J56" s="105" t="s">
        <v>4203</v>
      </c>
      <c r="K56" s="70"/>
      <c r="L56" s="63" t="s">
        <v>4204</v>
      </c>
    </row>
    <row r="57" spans="1:12" ht="256.5" x14ac:dyDescent="0.2">
      <c r="A57" s="56" t="s">
        <v>177</v>
      </c>
      <c r="B57" s="198" t="s">
        <v>4965</v>
      </c>
      <c r="C57" s="70" t="s">
        <v>178</v>
      </c>
      <c r="D57" s="56" t="s">
        <v>4279</v>
      </c>
      <c r="E57" s="70" t="s">
        <v>11</v>
      </c>
      <c r="F57" s="70" t="s">
        <v>41</v>
      </c>
      <c r="G57" s="55" t="s">
        <v>42</v>
      </c>
      <c r="H57" s="55" t="s">
        <v>4280</v>
      </c>
      <c r="I57" s="198" t="s">
        <v>4927</v>
      </c>
      <c r="J57" s="105" t="s">
        <v>4179</v>
      </c>
      <c r="K57" s="70"/>
      <c r="L57" s="105" t="s">
        <v>4205</v>
      </c>
    </row>
    <row r="58" spans="1:12" ht="57" x14ac:dyDescent="0.2">
      <c r="A58" s="56" t="s">
        <v>179</v>
      </c>
      <c r="B58" s="198" t="s">
        <v>4966</v>
      </c>
      <c r="C58" s="70" t="s">
        <v>180</v>
      </c>
      <c r="D58" s="105" t="s">
        <v>4206</v>
      </c>
      <c r="E58" s="70" t="s">
        <v>11</v>
      </c>
      <c r="F58" s="70" t="s">
        <v>37</v>
      </c>
      <c r="G58" s="55" t="s">
        <v>181</v>
      </c>
      <c r="H58" s="55" t="s">
        <v>4207</v>
      </c>
      <c r="I58" s="198" t="s">
        <v>4927</v>
      </c>
      <c r="J58" s="105" t="s">
        <v>4179</v>
      </c>
      <c r="K58" s="70"/>
      <c r="L58" s="55" t="s">
        <v>182</v>
      </c>
    </row>
    <row r="59" spans="1:12" ht="42.75" x14ac:dyDescent="0.2">
      <c r="A59" s="56" t="s">
        <v>193</v>
      </c>
      <c r="B59" s="198" t="s">
        <v>4967</v>
      </c>
      <c r="C59" s="70" t="s">
        <v>194</v>
      </c>
      <c r="D59" s="105" t="s">
        <v>4216</v>
      </c>
      <c r="E59" s="70" t="s">
        <v>109</v>
      </c>
      <c r="F59" s="70" t="s">
        <v>195</v>
      </c>
      <c r="G59" s="70" t="s">
        <v>196</v>
      </c>
      <c r="H59" s="105" t="s">
        <v>4217</v>
      </c>
      <c r="I59" s="105" t="s">
        <v>4188</v>
      </c>
      <c r="J59" s="105" t="s">
        <v>4218</v>
      </c>
      <c r="K59" s="70"/>
      <c r="L59" s="70" t="s">
        <v>197</v>
      </c>
    </row>
    <row r="60" spans="1:12" ht="28.5" x14ac:dyDescent="0.2">
      <c r="A60" s="56" t="s">
        <v>198</v>
      </c>
      <c r="B60" s="198" t="s">
        <v>4968</v>
      </c>
      <c r="C60" s="70" t="s">
        <v>199</v>
      </c>
      <c r="D60" s="105" t="s">
        <v>4216</v>
      </c>
      <c r="E60" s="198" t="s">
        <v>11</v>
      </c>
      <c r="F60" s="70" t="s">
        <v>200</v>
      </c>
      <c r="G60" s="70" t="s">
        <v>199</v>
      </c>
      <c r="H60" s="105" t="s">
        <v>4219</v>
      </c>
      <c r="I60" s="198" t="s">
        <v>4930</v>
      </c>
      <c r="J60" s="105" t="s">
        <v>4218</v>
      </c>
      <c r="K60" s="70"/>
      <c r="L60" s="70"/>
    </row>
    <row r="61" spans="1:12" ht="156.75" x14ac:dyDescent="0.2">
      <c r="A61" s="56" t="s">
        <v>201</v>
      </c>
      <c r="B61" s="198" t="s">
        <v>4969</v>
      </c>
      <c r="C61" s="70" t="s">
        <v>202</v>
      </c>
      <c r="D61" s="109" t="s">
        <v>4223</v>
      </c>
      <c r="E61" s="70" t="s">
        <v>109</v>
      </c>
      <c r="F61" s="70" t="s">
        <v>203</v>
      </c>
      <c r="G61" s="70" t="s">
        <v>204</v>
      </c>
      <c r="H61" s="109" t="s">
        <v>4221</v>
      </c>
      <c r="I61" s="105" t="s">
        <v>4222</v>
      </c>
      <c r="J61" s="105" t="s">
        <v>4220</v>
      </c>
      <c r="K61" s="70"/>
      <c r="L61" s="109" t="s">
        <v>4282</v>
      </c>
    </row>
    <row r="62" spans="1:12" ht="256.5" x14ac:dyDescent="0.2">
      <c r="A62" s="56" t="s">
        <v>205</v>
      </c>
      <c r="B62" s="198" t="s">
        <v>4970</v>
      </c>
      <c r="C62" s="70" t="s">
        <v>206</v>
      </c>
      <c r="D62" s="109" t="s">
        <v>4224</v>
      </c>
      <c r="E62" s="70">
        <v>1990</v>
      </c>
      <c r="F62" s="70" t="s">
        <v>207</v>
      </c>
      <c r="G62" s="70" t="s">
        <v>208</v>
      </c>
      <c r="H62" s="109" t="s">
        <v>4225</v>
      </c>
      <c r="I62" s="109" t="s">
        <v>4226</v>
      </c>
      <c r="J62" s="109" t="s">
        <v>4227</v>
      </c>
      <c r="K62" s="70"/>
      <c r="L62" s="70" t="s">
        <v>209</v>
      </c>
    </row>
    <row r="63" spans="1:12" ht="256.5" x14ac:dyDescent="0.2">
      <c r="A63" s="56" t="s">
        <v>211</v>
      </c>
      <c r="B63" s="198" t="s">
        <v>4971</v>
      </c>
      <c r="C63" s="70" t="s">
        <v>206</v>
      </c>
      <c r="D63" s="109" t="s">
        <v>4224</v>
      </c>
      <c r="E63" s="70">
        <v>2000</v>
      </c>
      <c r="F63" s="70" t="s">
        <v>212</v>
      </c>
      <c r="G63" s="70" t="s">
        <v>213</v>
      </c>
      <c r="H63" s="109" t="s">
        <v>4228</v>
      </c>
      <c r="I63" s="109" t="s">
        <v>4226</v>
      </c>
      <c r="J63" s="109" t="s">
        <v>4227</v>
      </c>
      <c r="K63" s="70"/>
      <c r="L63" s="70" t="s">
        <v>214</v>
      </c>
    </row>
    <row r="64" spans="1:12" ht="409.5" x14ac:dyDescent="0.2">
      <c r="A64" s="56" t="s">
        <v>215</v>
      </c>
      <c r="B64" s="198" t="s">
        <v>4972</v>
      </c>
      <c r="C64" s="70" t="s">
        <v>210</v>
      </c>
      <c r="D64" s="109" t="s">
        <v>4229</v>
      </c>
      <c r="E64" s="70">
        <v>1990</v>
      </c>
      <c r="F64" s="70" t="s">
        <v>216</v>
      </c>
      <c r="G64" s="70" t="s">
        <v>217</v>
      </c>
      <c r="H64" s="109" t="s">
        <v>4230</v>
      </c>
      <c r="I64" s="109" t="s">
        <v>4226</v>
      </c>
      <c r="J64" s="109" t="s">
        <v>4231</v>
      </c>
      <c r="K64" s="70"/>
      <c r="L64" s="70" t="s">
        <v>218</v>
      </c>
    </row>
    <row r="65" spans="1:12" ht="409.5" x14ac:dyDescent="0.2">
      <c r="A65" s="56" t="s">
        <v>219</v>
      </c>
      <c r="B65" s="198" t="s">
        <v>4973</v>
      </c>
      <c r="C65" s="70" t="s">
        <v>210</v>
      </c>
      <c r="D65" s="109" t="s">
        <v>4229</v>
      </c>
      <c r="E65" s="70">
        <v>2000</v>
      </c>
      <c r="F65" s="70" t="s">
        <v>220</v>
      </c>
      <c r="G65" s="70" t="s">
        <v>221</v>
      </c>
      <c r="H65" s="109" t="s">
        <v>4230</v>
      </c>
      <c r="I65" s="109" t="s">
        <v>4178</v>
      </c>
      <c r="J65" s="109" t="s">
        <v>4231</v>
      </c>
      <c r="K65" s="70"/>
      <c r="L65" s="70" t="s">
        <v>222</v>
      </c>
    </row>
    <row r="66" spans="1:12" ht="142.5" x14ac:dyDescent="0.2">
      <c r="A66" s="56" t="s">
        <v>223</v>
      </c>
      <c r="B66" s="198" t="s">
        <v>4975</v>
      </c>
      <c r="C66" s="70" t="s">
        <v>224</v>
      </c>
      <c r="D66" s="109" t="s">
        <v>4232</v>
      </c>
      <c r="E66" s="70">
        <v>1990</v>
      </c>
      <c r="F66" s="70" t="s">
        <v>225</v>
      </c>
      <c r="G66" s="70" t="s">
        <v>226</v>
      </c>
      <c r="H66" s="109" t="s">
        <v>4233</v>
      </c>
      <c r="I66" s="109" t="s">
        <v>4226</v>
      </c>
      <c r="J66" s="109" t="s">
        <v>4234</v>
      </c>
      <c r="K66" s="70"/>
      <c r="L66" s="109" t="s">
        <v>4283</v>
      </c>
    </row>
    <row r="67" spans="1:12" ht="171" x14ac:dyDescent="0.2">
      <c r="A67" s="56" t="s">
        <v>227</v>
      </c>
      <c r="B67" s="198" t="s">
        <v>4974</v>
      </c>
      <c r="C67" s="70" t="s">
        <v>224</v>
      </c>
      <c r="D67" s="109" t="s">
        <v>4240</v>
      </c>
      <c r="E67" s="70">
        <v>2000</v>
      </c>
      <c r="F67" s="70" t="s">
        <v>228</v>
      </c>
      <c r="G67" s="63" t="s">
        <v>229</v>
      </c>
      <c r="H67" s="60" t="s">
        <v>4235</v>
      </c>
      <c r="I67" s="109" t="s">
        <v>4238</v>
      </c>
      <c r="J67" s="109" t="s">
        <v>4234</v>
      </c>
      <c r="K67" s="70"/>
      <c r="L67" s="63" t="s">
        <v>230</v>
      </c>
    </row>
    <row r="68" spans="1:12" ht="156.75" x14ac:dyDescent="0.2">
      <c r="A68" s="56" t="s">
        <v>231</v>
      </c>
      <c r="B68" s="198" t="s">
        <v>4976</v>
      </c>
      <c r="C68" s="70" t="s">
        <v>232</v>
      </c>
      <c r="D68" s="109" t="s">
        <v>4236</v>
      </c>
      <c r="E68" s="70">
        <v>1990</v>
      </c>
      <c r="F68" s="70" t="s">
        <v>233</v>
      </c>
      <c r="G68" s="70" t="s">
        <v>234</v>
      </c>
      <c r="H68" s="109" t="s">
        <v>4237</v>
      </c>
      <c r="I68" s="109" t="s">
        <v>4226</v>
      </c>
      <c r="J68" s="109" t="s">
        <v>4234</v>
      </c>
      <c r="K68" s="70"/>
      <c r="L68" s="109" t="s">
        <v>4284</v>
      </c>
    </row>
    <row r="69" spans="1:12" ht="185.25" x14ac:dyDescent="0.2">
      <c r="A69" s="56" t="s">
        <v>235</v>
      </c>
      <c r="B69" s="198" t="s">
        <v>4977</v>
      </c>
      <c r="C69" s="70" t="s">
        <v>232</v>
      </c>
      <c r="D69" s="109" t="s">
        <v>4239</v>
      </c>
      <c r="E69" s="70">
        <v>2000</v>
      </c>
      <c r="F69" s="70" t="s">
        <v>236</v>
      </c>
      <c r="G69" s="63" t="s">
        <v>237</v>
      </c>
      <c r="H69" s="60" t="s">
        <v>4241</v>
      </c>
      <c r="I69" s="109" t="s">
        <v>4191</v>
      </c>
      <c r="J69" s="109" t="s">
        <v>4242</v>
      </c>
      <c r="K69" s="70"/>
      <c r="L69" s="109" t="s">
        <v>4285</v>
      </c>
    </row>
    <row r="70" spans="1:12" ht="128.25" x14ac:dyDescent="0.2">
      <c r="A70" s="56" t="s">
        <v>238</v>
      </c>
      <c r="B70" s="198" t="s">
        <v>4978</v>
      </c>
      <c r="C70" s="70" t="s">
        <v>132</v>
      </c>
      <c r="D70" s="109" t="s">
        <v>4239</v>
      </c>
      <c r="E70" s="70">
        <v>1990</v>
      </c>
      <c r="F70" s="70" t="s">
        <v>233</v>
      </c>
      <c r="G70" s="70" t="s">
        <v>296</v>
      </c>
      <c r="H70" s="109" t="s">
        <v>4237</v>
      </c>
      <c r="I70" s="109" t="s">
        <v>4226</v>
      </c>
      <c r="J70" s="109" t="s">
        <v>4243</v>
      </c>
      <c r="K70" s="70"/>
      <c r="L70" s="109" t="s">
        <v>4286</v>
      </c>
    </row>
    <row r="71" spans="1:12" ht="185.25" x14ac:dyDescent="0.2">
      <c r="A71" s="56" t="s">
        <v>239</v>
      </c>
      <c r="B71" s="198" t="s">
        <v>4979</v>
      </c>
      <c r="C71" s="70" t="s">
        <v>132</v>
      </c>
      <c r="D71" s="109" t="s">
        <v>4239</v>
      </c>
      <c r="E71" s="70">
        <v>2000</v>
      </c>
      <c r="F71" s="70" t="s">
        <v>236</v>
      </c>
      <c r="G71" s="63" t="s">
        <v>237</v>
      </c>
      <c r="H71" s="60" t="s">
        <v>4241</v>
      </c>
      <c r="I71" s="109" t="s">
        <v>4191</v>
      </c>
      <c r="J71" s="109" t="s">
        <v>4244</v>
      </c>
      <c r="K71" s="70"/>
      <c r="L71" s="109" t="s">
        <v>4287</v>
      </c>
    </row>
    <row r="72" spans="1:12" ht="28.5" x14ac:dyDescent="0.2">
      <c r="A72" s="56" t="s">
        <v>240</v>
      </c>
      <c r="B72" s="70" t="s">
        <v>241</v>
      </c>
      <c r="C72" s="70" t="s">
        <v>242</v>
      </c>
      <c r="D72" s="109" t="s">
        <v>4245</v>
      </c>
      <c r="E72" s="70">
        <v>2000</v>
      </c>
      <c r="F72" s="70"/>
      <c r="G72" s="70"/>
      <c r="H72" s="70"/>
      <c r="I72" s="109" t="s">
        <v>4102</v>
      </c>
      <c r="J72" s="109" t="s">
        <v>4246</v>
      </c>
      <c r="K72" s="70"/>
      <c r="L72" s="70"/>
    </row>
    <row r="73" spans="1:12" ht="42.75" x14ac:dyDescent="0.2">
      <c r="A73" s="56" t="s">
        <v>250</v>
      </c>
      <c r="B73" s="202" t="s">
        <v>4984</v>
      </c>
      <c r="C73" s="111" t="s">
        <v>4290</v>
      </c>
      <c r="D73" s="109" t="s">
        <v>4253</v>
      </c>
      <c r="E73" s="70" t="s">
        <v>109</v>
      </c>
      <c r="F73" s="70" t="s">
        <v>251</v>
      </c>
      <c r="G73" s="111" t="s">
        <v>4295</v>
      </c>
      <c r="H73" s="109" t="s">
        <v>4254</v>
      </c>
      <c r="I73" s="109" t="s">
        <v>4170</v>
      </c>
      <c r="J73" s="109" t="s">
        <v>4255</v>
      </c>
      <c r="K73" s="70"/>
      <c r="L73" s="70"/>
    </row>
    <row r="74" spans="1:12" ht="42.75" x14ac:dyDescent="0.2">
      <c r="A74" s="56" t="s">
        <v>254</v>
      </c>
      <c r="B74" s="202" t="s">
        <v>4983</v>
      </c>
      <c r="C74" s="111" t="s">
        <v>4289</v>
      </c>
      <c r="D74" s="109" t="s">
        <v>4247</v>
      </c>
      <c r="E74" s="70" t="s">
        <v>55</v>
      </c>
      <c r="F74" s="70" t="s">
        <v>48</v>
      </c>
      <c r="G74" s="60" t="s">
        <v>49</v>
      </c>
      <c r="H74" s="110" t="s">
        <v>4256</v>
      </c>
      <c r="I74" s="198" t="s">
        <v>4927</v>
      </c>
      <c r="J74" s="109" t="s">
        <v>4255</v>
      </c>
      <c r="K74" s="70"/>
      <c r="L74" s="60" t="s">
        <v>255</v>
      </c>
    </row>
    <row r="75" spans="1:12" ht="28.5" x14ac:dyDescent="0.2">
      <c r="A75" s="56" t="s">
        <v>4938</v>
      </c>
      <c r="B75" s="202" t="s">
        <v>4986</v>
      </c>
      <c r="C75" s="70" t="s">
        <v>256</v>
      </c>
      <c r="D75" s="198" t="s">
        <v>4933</v>
      </c>
      <c r="E75" s="70" t="s">
        <v>109</v>
      </c>
      <c r="F75" s="70" t="s">
        <v>257</v>
      </c>
      <c r="G75" s="70" t="s">
        <v>256</v>
      </c>
      <c r="H75" s="198" t="s">
        <v>4933</v>
      </c>
      <c r="I75" s="198" t="s">
        <v>4932</v>
      </c>
      <c r="J75" s="109" t="s">
        <v>4257</v>
      </c>
      <c r="K75" s="70"/>
      <c r="L75" s="70"/>
    </row>
    <row r="76" spans="1:12" ht="28.5" x14ac:dyDescent="0.2">
      <c r="A76" s="56" t="s">
        <v>4939</v>
      </c>
      <c r="B76" s="202" t="s">
        <v>4987</v>
      </c>
      <c r="C76" s="198" t="s">
        <v>4935</v>
      </c>
      <c r="D76" s="198" t="s">
        <v>4933</v>
      </c>
      <c r="E76" s="70" t="s">
        <v>11</v>
      </c>
      <c r="F76" s="70" t="s">
        <v>258</v>
      </c>
      <c r="G76" s="70"/>
      <c r="H76" s="198" t="s">
        <v>4933</v>
      </c>
      <c r="I76" s="198" t="s">
        <v>4927</v>
      </c>
      <c r="J76" s="70" t="s">
        <v>4257</v>
      </c>
      <c r="K76" s="70"/>
      <c r="L76" s="70"/>
    </row>
    <row r="77" spans="1:12" ht="28.5" x14ac:dyDescent="0.2">
      <c r="A77" s="56" t="s">
        <v>4940</v>
      </c>
      <c r="B77" s="202" t="s">
        <v>4988</v>
      </c>
      <c r="C77" s="70" t="s">
        <v>259</v>
      </c>
      <c r="D77" s="198" t="s">
        <v>4934</v>
      </c>
      <c r="E77" s="70" t="s">
        <v>109</v>
      </c>
      <c r="F77" s="70" t="s">
        <v>260</v>
      </c>
      <c r="G77" s="70" t="s">
        <v>259</v>
      </c>
      <c r="H77" s="111" t="s">
        <v>4260</v>
      </c>
      <c r="I77" s="198" t="s">
        <v>4932</v>
      </c>
      <c r="J77" s="109" t="s">
        <v>4258</v>
      </c>
      <c r="K77" s="70"/>
      <c r="L77" s="70"/>
    </row>
    <row r="78" spans="1:12" ht="28.5" x14ac:dyDescent="0.2">
      <c r="A78" s="56" t="s">
        <v>4937</v>
      </c>
      <c r="B78" s="202" t="s">
        <v>4985</v>
      </c>
      <c r="C78" s="198" t="s">
        <v>4936</v>
      </c>
      <c r="D78" s="198" t="s">
        <v>4934</v>
      </c>
      <c r="E78" s="70" t="s">
        <v>11</v>
      </c>
      <c r="F78" s="70" t="s">
        <v>261</v>
      </c>
      <c r="G78" s="70"/>
      <c r="H78" s="111" t="s">
        <v>4260</v>
      </c>
      <c r="I78" s="198" t="s">
        <v>4927</v>
      </c>
      <c r="J78" s="109" t="s">
        <v>4258</v>
      </c>
      <c r="K78" s="70"/>
      <c r="L78" s="70"/>
    </row>
    <row r="79" spans="1:12" ht="28.5" x14ac:dyDescent="0.2">
      <c r="A79" s="56" t="s">
        <v>262</v>
      </c>
      <c r="B79" s="109" t="s">
        <v>4263</v>
      </c>
      <c r="C79" s="70" t="s">
        <v>263</v>
      </c>
      <c r="D79" s="70"/>
      <c r="E79" s="70" t="s">
        <v>264</v>
      </c>
      <c r="F79" s="56" t="s">
        <v>265</v>
      </c>
      <c r="G79" s="56" t="s">
        <v>266</v>
      </c>
      <c r="H79" s="61"/>
      <c r="I79" s="109" t="s">
        <v>4925</v>
      </c>
      <c r="J79" s="70"/>
      <c r="K79" s="70"/>
      <c r="L79" s="70"/>
    </row>
    <row r="80" spans="1:12" ht="28.5" x14ac:dyDescent="0.2">
      <c r="A80" s="56" t="s">
        <v>267</v>
      </c>
      <c r="B80" s="109" t="s">
        <v>4264</v>
      </c>
      <c r="C80" s="70" t="s">
        <v>268</v>
      </c>
      <c r="D80" s="70"/>
      <c r="E80" s="70" t="s">
        <v>264</v>
      </c>
      <c r="F80" s="70" t="s">
        <v>269</v>
      </c>
      <c r="G80" s="70" t="s">
        <v>268</v>
      </c>
      <c r="H80" s="70"/>
      <c r="I80" s="109" t="s">
        <v>4925</v>
      </c>
      <c r="J80" s="70"/>
      <c r="K80" s="70"/>
      <c r="L80" s="70"/>
    </row>
    <row r="81" spans="1:13" ht="28.5" x14ac:dyDescent="0.2">
      <c r="A81" s="56" t="s">
        <v>270</v>
      </c>
      <c r="B81" s="109" t="s">
        <v>4265</v>
      </c>
      <c r="C81" s="70" t="s">
        <v>271</v>
      </c>
      <c r="D81" s="70"/>
      <c r="E81" s="70" t="s">
        <v>264</v>
      </c>
      <c r="F81" s="109" t="s">
        <v>272</v>
      </c>
      <c r="G81" s="70" t="s">
        <v>273</v>
      </c>
      <c r="H81" s="70"/>
      <c r="I81" s="109" t="s">
        <v>4925</v>
      </c>
      <c r="J81" s="70"/>
      <c r="K81" s="70"/>
      <c r="L81" s="70"/>
    </row>
    <row r="82" spans="1:13" ht="28.5" x14ac:dyDescent="0.2">
      <c r="A82" s="56" t="s">
        <v>274</v>
      </c>
      <c r="B82" s="109" t="s">
        <v>4267</v>
      </c>
      <c r="C82" s="70" t="s">
        <v>268</v>
      </c>
      <c r="D82" s="70"/>
      <c r="E82" s="70" t="s">
        <v>264</v>
      </c>
      <c r="F82" s="70" t="s">
        <v>275</v>
      </c>
      <c r="G82" s="70" t="s">
        <v>268</v>
      </c>
      <c r="H82" s="70"/>
      <c r="I82" s="109" t="s">
        <v>4925</v>
      </c>
      <c r="J82" s="70"/>
      <c r="K82" s="70"/>
      <c r="L82" s="70"/>
    </row>
    <row r="83" spans="1:13" ht="28.5" x14ac:dyDescent="0.2">
      <c r="A83" s="56" t="s">
        <v>278</v>
      </c>
      <c r="B83" s="109" t="s">
        <v>4266</v>
      </c>
      <c r="C83" s="70" t="s">
        <v>279</v>
      </c>
      <c r="D83" s="70"/>
      <c r="E83" s="70" t="s">
        <v>280</v>
      </c>
      <c r="F83" s="70" t="s">
        <v>281</v>
      </c>
      <c r="G83" s="70" t="s">
        <v>273</v>
      </c>
      <c r="H83" s="70"/>
      <c r="I83" s="109" t="s">
        <v>4925</v>
      </c>
      <c r="J83" s="70"/>
      <c r="K83" s="70"/>
      <c r="L83" s="70"/>
    </row>
    <row r="84" spans="1:13" ht="28.5" x14ac:dyDescent="0.2">
      <c r="A84" s="56" t="s">
        <v>282</v>
      </c>
      <c r="B84" s="109" t="s">
        <v>4268</v>
      </c>
      <c r="C84" s="70" t="s">
        <v>268</v>
      </c>
      <c r="D84" s="70"/>
      <c r="E84" s="70" t="s">
        <v>280</v>
      </c>
      <c r="F84" s="70" t="s">
        <v>283</v>
      </c>
      <c r="G84" s="70" t="s">
        <v>284</v>
      </c>
      <c r="H84" s="70"/>
      <c r="I84" s="109" t="s">
        <v>4925</v>
      </c>
      <c r="J84" s="70"/>
      <c r="K84" s="70"/>
      <c r="L84" s="70"/>
    </row>
    <row r="85" spans="1:13" ht="28.5" x14ac:dyDescent="0.2">
      <c r="A85" s="56" t="s">
        <v>286</v>
      </c>
      <c r="B85" s="109" t="s">
        <v>4269</v>
      </c>
      <c r="C85" s="70" t="s">
        <v>287</v>
      </c>
      <c r="D85" s="111" t="s">
        <v>4294</v>
      </c>
      <c r="E85" s="70" t="s">
        <v>280</v>
      </c>
      <c r="F85" s="111" t="s">
        <v>2241</v>
      </c>
      <c r="G85" s="70" t="s">
        <v>287</v>
      </c>
      <c r="H85" s="109" t="s">
        <v>4259</v>
      </c>
      <c r="I85" s="109" t="s">
        <v>4925</v>
      </c>
      <c r="J85" s="70"/>
      <c r="K85" s="70"/>
      <c r="L85" s="70"/>
    </row>
    <row r="86" spans="1:13" s="73" customFormat="1" ht="42.75" x14ac:dyDescent="0.2">
      <c r="A86" s="56" t="s">
        <v>289</v>
      </c>
      <c r="B86" s="56" t="s">
        <v>4270</v>
      </c>
      <c r="C86" s="56" t="s">
        <v>3119</v>
      </c>
      <c r="D86" s="56" t="s">
        <v>4262</v>
      </c>
      <c r="E86" s="56" t="s">
        <v>280</v>
      </c>
      <c r="F86" s="56" t="s">
        <v>2242</v>
      </c>
      <c r="G86" s="56" t="s">
        <v>3119</v>
      </c>
      <c r="H86" s="56" t="s">
        <v>4262</v>
      </c>
      <c r="I86" s="109" t="s">
        <v>4925</v>
      </c>
      <c r="J86" s="56"/>
      <c r="K86" s="64" t="s">
        <v>288</v>
      </c>
      <c r="L86" s="56"/>
    </row>
    <row r="87" spans="1:13" s="73" customFormat="1" ht="42.75" x14ac:dyDescent="0.2">
      <c r="A87" s="56" t="s">
        <v>290</v>
      </c>
      <c r="B87" s="56" t="s">
        <v>4272</v>
      </c>
      <c r="C87" s="56" t="s">
        <v>3120</v>
      </c>
      <c r="D87" s="56" t="s">
        <v>4262</v>
      </c>
      <c r="E87" s="56" t="s">
        <v>280</v>
      </c>
      <c r="F87" s="56" t="s">
        <v>2243</v>
      </c>
      <c r="G87" s="56" t="s">
        <v>3120</v>
      </c>
      <c r="H87" s="56" t="s">
        <v>4262</v>
      </c>
      <c r="I87" s="109" t="s">
        <v>4925</v>
      </c>
      <c r="J87" s="56"/>
      <c r="K87" s="64" t="s">
        <v>288</v>
      </c>
      <c r="L87" s="56"/>
    </row>
    <row r="88" spans="1:13" ht="28.5" x14ac:dyDescent="0.2">
      <c r="A88" s="56" t="s">
        <v>291</v>
      </c>
      <c r="B88" s="109" t="s">
        <v>4273</v>
      </c>
      <c r="C88" s="70" t="s">
        <v>292</v>
      </c>
      <c r="D88" s="109" t="s">
        <v>4259</v>
      </c>
      <c r="E88" s="70" t="s">
        <v>280</v>
      </c>
      <c r="F88" s="111" t="s">
        <v>2244</v>
      </c>
      <c r="G88" s="70" t="s">
        <v>292</v>
      </c>
      <c r="H88" s="109" t="s">
        <v>4259</v>
      </c>
      <c r="I88" s="109" t="s">
        <v>4925</v>
      </c>
      <c r="J88" s="70"/>
      <c r="K88" s="58" t="s">
        <v>288</v>
      </c>
      <c r="L88" s="70"/>
    </row>
    <row r="89" spans="1:13" ht="28.5" x14ac:dyDescent="0.2">
      <c r="A89" s="56" t="s">
        <v>293</v>
      </c>
      <c r="B89" s="109" t="s">
        <v>4271</v>
      </c>
      <c r="C89" s="70" t="s">
        <v>294</v>
      </c>
      <c r="D89" s="109" t="s">
        <v>4261</v>
      </c>
      <c r="E89" s="70" t="s">
        <v>280</v>
      </c>
      <c r="F89" s="111" t="s">
        <v>2245</v>
      </c>
      <c r="G89" s="70" t="s">
        <v>295</v>
      </c>
      <c r="H89" s="109" t="s">
        <v>4259</v>
      </c>
      <c r="I89" s="109" t="s">
        <v>4925</v>
      </c>
      <c r="J89" s="70"/>
      <c r="K89" s="58" t="s">
        <v>288</v>
      </c>
      <c r="L89" s="70"/>
    </row>
    <row r="90" spans="1:13" s="200" customFormat="1" ht="28.5" x14ac:dyDescent="0.2">
      <c r="A90" s="199" t="s">
        <v>4892</v>
      </c>
      <c r="B90" s="199" t="s">
        <v>4913</v>
      </c>
      <c r="C90" s="199"/>
      <c r="D90" s="199" t="s">
        <v>4918</v>
      </c>
      <c r="E90" s="199" t="s">
        <v>11</v>
      </c>
      <c r="F90" s="199" t="s">
        <v>4892</v>
      </c>
      <c r="G90" s="199"/>
      <c r="H90" s="199"/>
      <c r="I90" s="199" t="s">
        <v>4927</v>
      </c>
      <c r="J90" s="199" t="s">
        <v>4908</v>
      </c>
      <c r="K90" s="201"/>
      <c r="L90" s="199"/>
    </row>
    <row r="91" spans="1:13" s="200" customFormat="1" ht="28.5" x14ac:dyDescent="0.2">
      <c r="A91" s="199" t="s">
        <v>65</v>
      </c>
      <c r="B91" s="199" t="s">
        <v>4914</v>
      </c>
      <c r="C91" s="199"/>
      <c r="D91" s="199" t="s">
        <v>4918</v>
      </c>
      <c r="E91" s="199">
        <v>1990</v>
      </c>
      <c r="F91" s="199" t="s">
        <v>66</v>
      </c>
      <c r="G91" s="199"/>
      <c r="H91" s="199"/>
      <c r="I91" s="199" t="s">
        <v>4103</v>
      </c>
      <c r="J91" s="199" t="s">
        <v>4909</v>
      </c>
      <c r="K91" s="199"/>
      <c r="L91" s="199"/>
      <c r="M91" s="199"/>
    </row>
    <row r="92" spans="1:13" s="200" customFormat="1" ht="28.5" x14ac:dyDescent="0.2">
      <c r="A92" s="199" t="s">
        <v>67</v>
      </c>
      <c r="B92" s="199" t="s">
        <v>4915</v>
      </c>
      <c r="C92" s="199"/>
      <c r="D92" s="199" t="s">
        <v>4918</v>
      </c>
      <c r="E92" s="199">
        <v>2000</v>
      </c>
      <c r="F92" s="199" t="s">
        <v>68</v>
      </c>
      <c r="G92" s="199"/>
      <c r="H92" s="199"/>
      <c r="I92" s="199" t="s">
        <v>4104</v>
      </c>
      <c r="J92" s="199" t="s">
        <v>4910</v>
      </c>
      <c r="K92" s="199"/>
      <c r="L92" s="199"/>
      <c r="M92" s="199"/>
    </row>
    <row r="93" spans="1:13" s="200" customFormat="1" ht="28.5" x14ac:dyDescent="0.2">
      <c r="A93" s="199" t="s">
        <v>69</v>
      </c>
      <c r="B93" s="199" t="s">
        <v>4916</v>
      </c>
      <c r="C93" s="199"/>
      <c r="D93" s="199" t="s">
        <v>4918</v>
      </c>
      <c r="E93" s="199" t="s">
        <v>64</v>
      </c>
      <c r="F93" s="199" t="s">
        <v>70</v>
      </c>
      <c r="G93" s="199"/>
      <c r="H93" s="199"/>
      <c r="I93" s="199" t="s">
        <v>4921</v>
      </c>
      <c r="J93" s="199" t="s">
        <v>4911</v>
      </c>
      <c r="K93" s="199"/>
      <c r="L93" s="199"/>
      <c r="M93" s="199"/>
    </row>
    <row r="94" spans="1:13" s="200" customFormat="1" ht="28.5" x14ac:dyDescent="0.2">
      <c r="A94" s="199" t="s">
        <v>98</v>
      </c>
      <c r="B94" s="199" t="s">
        <v>4917</v>
      </c>
      <c r="C94" s="199"/>
      <c r="D94" s="199" t="s">
        <v>4918</v>
      </c>
      <c r="E94" s="199" t="s">
        <v>99</v>
      </c>
      <c r="F94" s="199" t="s">
        <v>4919</v>
      </c>
      <c r="G94" s="199"/>
      <c r="H94" s="199"/>
      <c r="I94" s="199" t="s">
        <v>4920</v>
      </c>
      <c r="J94" s="199" t="s">
        <v>4912</v>
      </c>
      <c r="K94" s="199"/>
      <c r="L94" s="199"/>
    </row>
  </sheetData>
  <hyperlinks>
    <hyperlink ref="D1" location="'Aperçu SNC'!A1" display="Retour vers Aperçu" xr:uid="{00000000-0004-0000-0100-000000000000}"/>
    <hyperlink ref="K53" r:id="rId1" xr:uid="{00000000-0004-0000-0100-000001000000}"/>
    <hyperlink ref="K32" r:id="rId2" xr:uid="{00000000-0004-0000-0100-000002000000}"/>
    <hyperlink ref="K52" r:id="rId3" xr:uid="{00000000-0004-0000-0100-000003000000}"/>
    <hyperlink ref="K51" r:id="rId4" xr:uid="{00000000-0004-0000-0100-000004000000}"/>
    <hyperlink ref="K38" r:id="rId5" xr:uid="{00000000-0004-0000-0100-000005000000}"/>
    <hyperlink ref="K39" r:id="rId6" xr:uid="{00000000-0004-0000-0100-000006000000}"/>
    <hyperlink ref="K41" r:id="rId7" xr:uid="{00000000-0004-0000-0100-000009000000}"/>
    <hyperlink ref="K42" r:id="rId8" xr:uid="{00000000-0004-0000-0100-00000A000000}"/>
    <hyperlink ref="K86" r:id="rId9" xr:uid="{00000000-0004-0000-0100-00000E000000}"/>
    <hyperlink ref="K87" r:id="rId10" xr:uid="{00000000-0004-0000-0100-000012000000}"/>
    <hyperlink ref="K88" r:id="rId11" xr:uid="{00000000-0004-0000-0100-000016000000}"/>
    <hyperlink ref="K89" r:id="rId12" xr:uid="{00000000-0004-0000-0100-00001A000000}"/>
    <hyperlink ref="K33" r:id="rId13" xr:uid="{00000000-0004-0000-0100-00001E000000}"/>
    <hyperlink ref="K31" r:id="rId14" xr:uid="{00000000-0004-0000-0100-00001F000000}"/>
    <hyperlink ref="K30" r:id="rId15" xr:uid="{00000000-0004-0000-0100-000020000000}"/>
    <hyperlink ref="K40" r:id="rId16" xr:uid="{00000000-0004-0000-0100-000022000000}"/>
    <hyperlink ref="K29" r:id="rId17" xr:uid="{00000000-0004-0000-0100-000023000000}"/>
    <hyperlink ref="K54" r:id="rId18" xr:uid="{00000000-0004-0000-0100-000024000000}"/>
    <hyperlink ref="K37" r:id="rId19" xr:uid="{1D9C5735-14F0-4F31-9088-84791680B298}"/>
  </hyperlinks>
  <pageMargins left="0.7" right="0.7" top="0.75" bottom="0.75" header="0.3" footer="0.3"/>
  <pageSetup orientation="portrait" r:id="rId2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F1551-F400-4ACB-B024-DD2CB3B5CC23}">
  <sheetPr>
    <tabColor rgb="FF00B050"/>
  </sheetPr>
  <dimension ref="A1:C22"/>
  <sheetViews>
    <sheetView workbookViewId="0">
      <selection sqref="A1:B1"/>
    </sheetView>
  </sheetViews>
  <sheetFormatPr baseColWidth="10" defaultRowHeight="15.75" x14ac:dyDescent="0.25"/>
  <cols>
    <col min="1" max="1" width="14.75" customWidth="1"/>
    <col min="2" max="2" width="38.375" customWidth="1"/>
    <col min="3" max="3" width="35.375" bestFit="1" customWidth="1"/>
  </cols>
  <sheetData>
    <row r="1" spans="1:3" x14ac:dyDescent="0.25">
      <c r="A1" s="218" t="s">
        <v>4992</v>
      </c>
      <c r="B1" s="218"/>
      <c r="C1" s="69" t="s">
        <v>4297</v>
      </c>
    </row>
    <row r="2" spans="1:3" x14ac:dyDescent="0.25">
      <c r="A2" s="205" t="s">
        <v>5</v>
      </c>
      <c r="B2" s="206" t="s">
        <v>12</v>
      </c>
    </row>
    <row r="3" spans="1:3" x14ac:dyDescent="0.25">
      <c r="A3" s="205" t="s">
        <v>51</v>
      </c>
      <c r="B3" s="206" t="s">
        <v>4991</v>
      </c>
    </row>
    <row r="4" spans="1:3" x14ac:dyDescent="0.25">
      <c r="A4" s="205" t="s">
        <v>17</v>
      </c>
      <c r="B4" s="206" t="s">
        <v>4993</v>
      </c>
    </row>
    <row r="5" spans="1:3" x14ac:dyDescent="0.25">
      <c r="A5" s="205" t="s">
        <v>4994</v>
      </c>
      <c r="B5" s="206" t="s">
        <v>2290</v>
      </c>
    </row>
    <row r="7" spans="1:3" x14ac:dyDescent="0.25">
      <c r="A7" s="205" t="s">
        <v>19</v>
      </c>
      <c r="B7" s="205" t="s">
        <v>20</v>
      </c>
      <c r="C7" s="205" t="s">
        <v>56</v>
      </c>
    </row>
    <row r="8" spans="1:3" x14ac:dyDescent="0.25">
      <c r="A8" t="s">
        <v>4995</v>
      </c>
      <c r="B8" t="s">
        <v>4996</v>
      </c>
      <c r="C8" t="s">
        <v>4997</v>
      </c>
    </row>
    <row r="9" spans="1:3" x14ac:dyDescent="0.25">
      <c r="A9" t="s">
        <v>4998</v>
      </c>
      <c r="B9" t="s">
        <v>4996</v>
      </c>
      <c r="C9" t="s">
        <v>4997</v>
      </c>
    </row>
    <row r="10" spans="1:3" x14ac:dyDescent="0.25">
      <c r="A10" t="s">
        <v>4999</v>
      </c>
      <c r="B10" t="s">
        <v>5000</v>
      </c>
      <c r="C10" t="s">
        <v>5001</v>
      </c>
    </row>
    <row r="11" spans="1:3" x14ac:dyDescent="0.25">
      <c r="A11" t="s">
        <v>5002</v>
      </c>
      <c r="B11" t="s">
        <v>5003</v>
      </c>
      <c r="C11" t="s">
        <v>5004</v>
      </c>
    </row>
    <row r="12" spans="1:3" x14ac:dyDescent="0.25">
      <c r="A12" t="s">
        <v>5005</v>
      </c>
      <c r="B12" t="s">
        <v>5006</v>
      </c>
      <c r="C12" t="s">
        <v>5007</v>
      </c>
    </row>
    <row r="13" spans="1:3" x14ac:dyDescent="0.25">
      <c r="A13" t="s">
        <v>5008</v>
      </c>
      <c r="B13" t="s">
        <v>5009</v>
      </c>
      <c r="C13" t="s">
        <v>5010</v>
      </c>
    </row>
    <row r="14" spans="1:3" x14ac:dyDescent="0.25">
      <c r="A14" t="s">
        <v>5011</v>
      </c>
      <c r="B14" t="s">
        <v>5000</v>
      </c>
      <c r="C14" t="s">
        <v>5012</v>
      </c>
    </row>
    <row r="15" spans="1:3" x14ac:dyDescent="0.25">
      <c r="A15" t="s">
        <v>5013</v>
      </c>
      <c r="B15" t="s">
        <v>5003</v>
      </c>
      <c r="C15" t="s">
        <v>5014</v>
      </c>
    </row>
    <row r="16" spans="1:3" x14ac:dyDescent="0.25">
      <c r="A16" t="s">
        <v>5015</v>
      </c>
      <c r="B16" t="s">
        <v>5006</v>
      </c>
      <c r="C16" t="s">
        <v>5016</v>
      </c>
    </row>
    <row r="17" spans="1:3" x14ac:dyDescent="0.25">
      <c r="A17" t="s">
        <v>5017</v>
      </c>
      <c r="B17" t="s">
        <v>5009</v>
      </c>
      <c r="C17" t="s">
        <v>5018</v>
      </c>
    </row>
    <row r="18" spans="1:3" x14ac:dyDescent="0.25">
      <c r="A18" t="s">
        <v>5019</v>
      </c>
      <c r="B18" t="s">
        <v>5000</v>
      </c>
      <c r="C18" t="s">
        <v>5020</v>
      </c>
    </row>
    <row r="19" spans="1:3" x14ac:dyDescent="0.25">
      <c r="A19" t="s">
        <v>5021</v>
      </c>
      <c r="B19" t="s">
        <v>5003</v>
      </c>
      <c r="C19" t="s">
        <v>5022</v>
      </c>
    </row>
    <row r="20" spans="1:3" x14ac:dyDescent="0.25">
      <c r="A20" t="s">
        <v>5023</v>
      </c>
      <c r="B20" t="s">
        <v>5006</v>
      </c>
      <c r="C20" t="s">
        <v>5024</v>
      </c>
    </row>
    <row r="21" spans="1:3" x14ac:dyDescent="0.25">
      <c r="A21" t="s">
        <v>5025</v>
      </c>
      <c r="B21" t="s">
        <v>5009</v>
      </c>
      <c r="C21" t="s">
        <v>5026</v>
      </c>
    </row>
    <row r="22" spans="1:3" s="207" customFormat="1" ht="31.5" x14ac:dyDescent="0.25">
      <c r="A22" s="207" t="s">
        <v>5027</v>
      </c>
      <c r="B22" s="207" t="s">
        <v>5029</v>
      </c>
      <c r="C22" s="208" t="s">
        <v>5028</v>
      </c>
    </row>
  </sheetData>
  <mergeCells count="1">
    <mergeCell ref="A1:B1"/>
  </mergeCells>
  <hyperlinks>
    <hyperlink ref="C1" location="'Aperçu SNC'!A1" display="Retour vers Aperçu" xr:uid="{2C261807-D33C-40A5-B55F-571BD7325039}"/>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sheetPr>
  <dimension ref="A1:O326"/>
  <sheetViews>
    <sheetView zoomScaleNormal="100" workbookViewId="0">
      <selection activeCell="D16" sqref="D16"/>
    </sheetView>
  </sheetViews>
  <sheetFormatPr baseColWidth="10" defaultColWidth="10.875" defaultRowHeight="14.25" x14ac:dyDescent="0.2"/>
  <cols>
    <col min="1" max="1" width="26.25" style="72" customWidth="1"/>
    <col min="2" max="2" width="12.375" style="78" customWidth="1"/>
    <col min="3" max="3" width="11.625" style="72" customWidth="1"/>
    <col min="4" max="4" width="13.75" style="72" customWidth="1"/>
    <col min="5" max="5" width="37.125" style="72" customWidth="1"/>
    <col min="6" max="6" width="52.75" style="72" customWidth="1"/>
    <col min="7" max="7" width="43.875" style="72" customWidth="1"/>
    <col min="8" max="16384" width="10.875" style="72"/>
  </cols>
  <sheetData>
    <row r="1" spans="1:7" ht="15" x14ac:dyDescent="0.2">
      <c r="A1" s="11" t="s">
        <v>5</v>
      </c>
      <c r="B1" s="13" t="s">
        <v>7</v>
      </c>
      <c r="C1" s="74"/>
      <c r="D1" s="74"/>
      <c r="E1" s="42" t="s">
        <v>4297</v>
      </c>
      <c r="F1" s="42"/>
      <c r="G1" s="14"/>
    </row>
    <row r="2" spans="1:7" ht="15" x14ac:dyDescent="0.2">
      <c r="A2" s="12" t="s">
        <v>51</v>
      </c>
      <c r="B2" s="13" t="s">
        <v>15</v>
      </c>
      <c r="C2" s="74"/>
      <c r="D2" s="74"/>
      <c r="E2" s="42"/>
      <c r="F2" s="42"/>
      <c r="G2" s="14"/>
    </row>
    <row r="3" spans="1:7" ht="15" x14ac:dyDescent="0.2">
      <c r="A3" s="11" t="s">
        <v>17</v>
      </c>
      <c r="B3" s="13">
        <v>1990</v>
      </c>
      <c r="C3" s="74"/>
      <c r="D3" s="74"/>
      <c r="E3" s="14"/>
      <c r="F3" s="14"/>
      <c r="G3" s="14"/>
    </row>
    <row r="4" spans="1:7" ht="15.75" x14ac:dyDescent="0.2">
      <c r="A4" s="11" t="s">
        <v>18</v>
      </c>
      <c r="B4" s="143" t="s">
        <v>4298</v>
      </c>
      <c r="C4" s="74"/>
      <c r="D4" s="74"/>
      <c r="E4" s="142"/>
      <c r="F4" s="142"/>
      <c r="G4" s="142"/>
    </row>
    <row r="5" spans="1:7" ht="15.75" x14ac:dyDescent="0.2">
      <c r="A5" s="11"/>
      <c r="B5" s="143" t="s">
        <v>4299</v>
      </c>
      <c r="C5" s="74"/>
      <c r="D5" s="74"/>
      <c r="E5" s="142"/>
      <c r="F5" s="142"/>
      <c r="G5" s="142"/>
    </row>
    <row r="6" spans="1:7" ht="15.75" x14ac:dyDescent="0.2">
      <c r="A6" s="11"/>
      <c r="B6" s="143" t="s">
        <v>4300</v>
      </c>
      <c r="C6" s="74"/>
      <c r="D6" s="74"/>
      <c r="E6" s="142"/>
      <c r="F6" s="142"/>
      <c r="G6" s="142"/>
    </row>
    <row r="8" spans="1:7" ht="30" x14ac:dyDescent="0.25">
      <c r="A8" s="75" t="s">
        <v>4301</v>
      </c>
      <c r="B8" s="101" t="s">
        <v>13</v>
      </c>
      <c r="C8" s="102" t="s">
        <v>19</v>
      </c>
      <c r="D8" s="102" t="s">
        <v>20</v>
      </c>
      <c r="E8" s="76" t="s">
        <v>56</v>
      </c>
      <c r="F8" s="76" t="s">
        <v>1105</v>
      </c>
      <c r="G8" s="77" t="s">
        <v>3775</v>
      </c>
    </row>
    <row r="9" spans="1:7" ht="15" x14ac:dyDescent="0.2">
      <c r="A9" s="221" t="s">
        <v>4298</v>
      </c>
      <c r="B9" s="221"/>
      <c r="C9" s="221"/>
      <c r="D9" s="221"/>
      <c r="E9" s="221"/>
      <c r="F9" s="221"/>
      <c r="G9" s="221"/>
    </row>
    <row r="10" spans="1:7" s="103" customFormat="1" ht="28.5" x14ac:dyDescent="0.2">
      <c r="A10" s="135"/>
      <c r="B10" s="136" t="s">
        <v>3012</v>
      </c>
      <c r="C10" s="137" t="s">
        <v>1106</v>
      </c>
      <c r="D10" s="139" t="s">
        <v>1108</v>
      </c>
      <c r="E10" s="137" t="s">
        <v>1107</v>
      </c>
      <c r="F10" s="129" t="s">
        <v>3802</v>
      </c>
      <c r="G10" s="137"/>
    </row>
    <row r="11" spans="1:7" s="103" customFormat="1" ht="28.5" x14ac:dyDescent="0.2">
      <c r="A11" s="135"/>
      <c r="B11" s="136" t="s">
        <v>3012</v>
      </c>
      <c r="C11" s="137" t="s">
        <v>1109</v>
      </c>
      <c r="D11" s="137" t="s">
        <v>1111</v>
      </c>
      <c r="E11" s="137" t="s">
        <v>1110</v>
      </c>
      <c r="F11" s="129" t="s">
        <v>3803</v>
      </c>
      <c r="G11" s="129" t="s">
        <v>3804</v>
      </c>
    </row>
    <row r="12" spans="1:7" s="103" customFormat="1" ht="85.5" x14ac:dyDescent="0.2">
      <c r="A12" s="135"/>
      <c r="B12" s="136"/>
      <c r="C12" s="137" t="s">
        <v>1112</v>
      </c>
      <c r="D12" s="137" t="s">
        <v>1114</v>
      </c>
      <c r="E12" s="137" t="s">
        <v>1113</v>
      </c>
      <c r="F12" s="129" t="s">
        <v>4304</v>
      </c>
      <c r="G12" s="137" t="s">
        <v>1115</v>
      </c>
    </row>
    <row r="13" spans="1:7" s="103" customFormat="1" ht="42.75" x14ac:dyDescent="0.2">
      <c r="A13" s="135"/>
      <c r="B13" s="136"/>
      <c r="C13" s="137" t="s">
        <v>1116</v>
      </c>
      <c r="D13" s="137" t="s">
        <v>1118</v>
      </c>
      <c r="E13" s="137" t="s">
        <v>1117</v>
      </c>
      <c r="F13" s="129" t="s">
        <v>3808</v>
      </c>
      <c r="G13" s="137" t="s">
        <v>1119</v>
      </c>
    </row>
    <row r="14" spans="1:7" s="103" customFormat="1" ht="28.5" x14ac:dyDescent="0.2">
      <c r="A14" s="135"/>
      <c r="B14" s="136"/>
      <c r="C14" s="137" t="s">
        <v>1120</v>
      </c>
      <c r="D14" s="137" t="s">
        <v>1118</v>
      </c>
      <c r="E14" s="137" t="s">
        <v>1121</v>
      </c>
      <c r="F14" s="129" t="s">
        <v>3808</v>
      </c>
      <c r="G14" s="137"/>
    </row>
    <row r="15" spans="1:7" s="103" customFormat="1" ht="28.5" x14ac:dyDescent="0.2">
      <c r="A15" s="135"/>
      <c r="B15" s="136" t="s">
        <v>3012</v>
      </c>
      <c r="C15" s="137" t="s">
        <v>1122</v>
      </c>
      <c r="D15" s="137" t="s">
        <v>1124</v>
      </c>
      <c r="E15" s="137" t="s">
        <v>1123</v>
      </c>
      <c r="F15" s="129" t="s">
        <v>3808</v>
      </c>
      <c r="G15" s="137"/>
    </row>
    <row r="16" spans="1:7" s="103" customFormat="1" ht="111.95" customHeight="1" x14ac:dyDescent="0.2">
      <c r="A16" s="135"/>
      <c r="B16" s="136"/>
      <c r="C16" s="137" t="s">
        <v>1125</v>
      </c>
      <c r="D16" s="137" t="s">
        <v>1127</v>
      </c>
      <c r="E16" s="137" t="s">
        <v>1126</v>
      </c>
      <c r="F16" s="129" t="s">
        <v>4305</v>
      </c>
      <c r="G16" s="137" t="s">
        <v>1128</v>
      </c>
    </row>
    <row r="17" spans="1:7" s="103" customFormat="1" ht="28.5" x14ac:dyDescent="0.2">
      <c r="A17" s="135"/>
      <c r="B17" s="136"/>
      <c r="C17" s="137" t="s">
        <v>1129</v>
      </c>
      <c r="D17" s="137" t="s">
        <v>1131</v>
      </c>
      <c r="E17" s="137" t="s">
        <v>1130</v>
      </c>
      <c r="F17" s="129" t="s">
        <v>1397</v>
      </c>
      <c r="G17" s="137" t="s">
        <v>1132</v>
      </c>
    </row>
    <row r="18" spans="1:7" s="103" customFormat="1" ht="28.5" x14ac:dyDescent="0.2">
      <c r="A18" s="135"/>
      <c r="B18" s="136"/>
      <c r="C18" s="137" t="s">
        <v>1133</v>
      </c>
      <c r="D18" s="137" t="s">
        <v>1131</v>
      </c>
      <c r="E18" s="137" t="s">
        <v>1134</v>
      </c>
      <c r="F18" s="129" t="s">
        <v>1397</v>
      </c>
      <c r="G18" s="137" t="s">
        <v>1132</v>
      </c>
    </row>
    <row r="19" spans="1:7" s="103" customFormat="1" ht="28.5" x14ac:dyDescent="0.2">
      <c r="A19" s="135"/>
      <c r="B19" s="136"/>
      <c r="C19" s="137" t="s">
        <v>1135</v>
      </c>
      <c r="D19" s="137" t="s">
        <v>1131</v>
      </c>
      <c r="E19" s="137" t="s">
        <v>1136</v>
      </c>
      <c r="F19" s="129" t="s">
        <v>1397</v>
      </c>
      <c r="G19" s="137" t="s">
        <v>1132</v>
      </c>
    </row>
    <row r="20" spans="1:7" s="103" customFormat="1" ht="110.25" customHeight="1" x14ac:dyDescent="0.2">
      <c r="A20" s="135"/>
      <c r="B20" s="136"/>
      <c r="C20" s="137" t="s">
        <v>1137</v>
      </c>
      <c r="D20" s="137" t="s">
        <v>1139</v>
      </c>
      <c r="E20" s="137" t="s">
        <v>1138</v>
      </c>
      <c r="F20" s="129" t="s">
        <v>4306</v>
      </c>
      <c r="G20" s="113" t="s">
        <v>4347</v>
      </c>
    </row>
    <row r="21" spans="1:7" s="103" customFormat="1" ht="85.5" x14ac:dyDescent="0.2">
      <c r="A21" s="135"/>
      <c r="B21" s="136"/>
      <c r="C21" s="137" t="s">
        <v>1140</v>
      </c>
      <c r="D21" s="137" t="s">
        <v>1139</v>
      </c>
      <c r="E21" s="137" t="s">
        <v>1138</v>
      </c>
      <c r="F21" s="129" t="s">
        <v>3909</v>
      </c>
      <c r="G21" s="113" t="s">
        <v>4347</v>
      </c>
    </row>
    <row r="22" spans="1:7" s="103" customFormat="1" ht="28.5" x14ac:dyDescent="0.2">
      <c r="A22" s="135"/>
      <c r="B22" s="136"/>
      <c r="C22" s="137" t="s">
        <v>1141</v>
      </c>
      <c r="D22" s="137" t="s">
        <v>1143</v>
      </c>
      <c r="E22" s="137" t="s">
        <v>1142</v>
      </c>
      <c r="F22" s="129" t="s">
        <v>3910</v>
      </c>
      <c r="G22" s="137"/>
    </row>
    <row r="23" spans="1:7" s="103" customFormat="1" ht="72.75" customHeight="1" x14ac:dyDescent="0.2">
      <c r="A23" s="135"/>
      <c r="B23" s="136"/>
      <c r="C23" s="137" t="s">
        <v>1144</v>
      </c>
      <c r="D23" s="137" t="s">
        <v>1145</v>
      </c>
      <c r="E23" s="137" t="s">
        <v>338</v>
      </c>
      <c r="F23" s="129" t="s">
        <v>4307</v>
      </c>
      <c r="G23" s="137"/>
    </row>
    <row r="24" spans="1:7" s="103" customFormat="1" ht="129.75" customHeight="1" x14ac:dyDescent="0.2">
      <c r="A24" s="135"/>
      <c r="B24" s="136"/>
      <c r="C24" s="137" t="s">
        <v>1146</v>
      </c>
      <c r="D24" s="137" t="s">
        <v>1148</v>
      </c>
      <c r="E24" s="137" t="s">
        <v>1147</v>
      </c>
      <c r="F24" s="129" t="s">
        <v>4308</v>
      </c>
      <c r="G24" s="137" t="s">
        <v>1149</v>
      </c>
    </row>
    <row r="25" spans="1:7" s="103" customFormat="1" ht="77.25" customHeight="1" x14ac:dyDescent="0.2">
      <c r="A25" s="135"/>
      <c r="B25" s="136" t="s">
        <v>3012</v>
      </c>
      <c r="C25" s="137" t="s">
        <v>1150</v>
      </c>
      <c r="D25" s="139" t="s">
        <v>1152</v>
      </c>
      <c r="E25" s="137" t="s">
        <v>1151</v>
      </c>
      <c r="F25" s="129" t="s">
        <v>4309</v>
      </c>
      <c r="G25" s="129" t="s">
        <v>3871</v>
      </c>
    </row>
    <row r="26" spans="1:7" s="103" customFormat="1" ht="28.5" x14ac:dyDescent="0.2">
      <c r="A26" s="135"/>
      <c r="B26" s="136" t="s">
        <v>3012</v>
      </c>
      <c r="C26" s="137" t="s">
        <v>1153</v>
      </c>
      <c r="D26" s="139" t="s">
        <v>1155</v>
      </c>
      <c r="E26" s="137" t="s">
        <v>1154</v>
      </c>
      <c r="F26" s="137" t="s">
        <v>1156</v>
      </c>
      <c r="G26" s="129" t="s">
        <v>3871</v>
      </c>
    </row>
    <row r="27" spans="1:7" s="103" customFormat="1" ht="28.5" x14ac:dyDescent="0.2">
      <c r="A27" s="135"/>
      <c r="B27" s="136" t="s">
        <v>3012</v>
      </c>
      <c r="C27" s="137" t="s">
        <v>1157</v>
      </c>
      <c r="D27" s="137" t="s">
        <v>1159</v>
      </c>
      <c r="E27" s="137" t="s">
        <v>1158</v>
      </c>
      <c r="F27" s="129" t="s">
        <v>4310</v>
      </c>
      <c r="G27" s="113" t="s">
        <v>3776</v>
      </c>
    </row>
    <row r="28" spans="1:7" s="103" customFormat="1" x14ac:dyDescent="0.2">
      <c r="A28" s="135"/>
      <c r="B28" s="136"/>
      <c r="C28" s="137" t="s">
        <v>1160</v>
      </c>
      <c r="D28" s="137" t="s">
        <v>1162</v>
      </c>
      <c r="E28" s="137" t="s">
        <v>1161</v>
      </c>
      <c r="F28" s="137" t="s">
        <v>17</v>
      </c>
      <c r="G28" s="137" t="s">
        <v>1163</v>
      </c>
    </row>
    <row r="29" spans="1:7" s="103" customFormat="1" ht="92.25" customHeight="1" x14ac:dyDescent="0.2">
      <c r="A29" s="135"/>
      <c r="B29" s="136"/>
      <c r="C29" s="137" t="s">
        <v>1164</v>
      </c>
      <c r="D29" s="137" t="s">
        <v>1166</v>
      </c>
      <c r="E29" s="137" t="s">
        <v>1165</v>
      </c>
      <c r="F29" s="137" t="s">
        <v>1167</v>
      </c>
      <c r="G29" s="137"/>
    </row>
    <row r="30" spans="1:7" s="103" customFormat="1" ht="117.75" customHeight="1" x14ac:dyDescent="0.2">
      <c r="A30" s="135"/>
      <c r="B30" s="136"/>
      <c r="C30" s="137" t="s">
        <v>1168</v>
      </c>
      <c r="D30" s="137" t="s">
        <v>1170</v>
      </c>
      <c r="E30" s="137" t="s">
        <v>1169</v>
      </c>
      <c r="F30" s="137" t="s">
        <v>1171</v>
      </c>
      <c r="G30" s="137"/>
    </row>
    <row r="31" spans="1:7" s="103" customFormat="1" ht="46.5" customHeight="1" x14ac:dyDescent="0.2">
      <c r="A31" s="135"/>
      <c r="B31" s="136"/>
      <c r="C31" s="137" t="s">
        <v>1172</v>
      </c>
      <c r="D31" s="140" t="s">
        <v>1162</v>
      </c>
      <c r="E31" s="137" t="s">
        <v>1173</v>
      </c>
      <c r="F31" s="137" t="s">
        <v>17</v>
      </c>
      <c r="G31" s="137" t="s">
        <v>1174</v>
      </c>
    </row>
    <row r="32" spans="1:7" s="103" customFormat="1" ht="75.75" customHeight="1" x14ac:dyDescent="0.2">
      <c r="A32" s="135"/>
      <c r="B32" s="136"/>
      <c r="C32" s="137" t="s">
        <v>1175</v>
      </c>
      <c r="D32" s="137" t="s">
        <v>1177</v>
      </c>
      <c r="E32" s="137" t="s">
        <v>1176</v>
      </c>
      <c r="F32" s="129" t="s">
        <v>4311</v>
      </c>
      <c r="G32" s="137"/>
    </row>
    <row r="33" spans="1:7" s="103" customFormat="1" ht="78" customHeight="1" x14ac:dyDescent="0.2">
      <c r="A33" s="135"/>
      <c r="B33" s="136"/>
      <c r="C33" s="137" t="s">
        <v>1178</v>
      </c>
      <c r="D33" s="140" t="s">
        <v>1180</v>
      </c>
      <c r="E33" s="137" t="s">
        <v>1179</v>
      </c>
      <c r="F33" s="129" t="s">
        <v>4311</v>
      </c>
      <c r="G33" s="113" t="s">
        <v>4348</v>
      </c>
    </row>
    <row r="34" spans="1:7" s="103" customFormat="1" ht="42.75" x14ac:dyDescent="0.2">
      <c r="A34" s="135"/>
      <c r="B34" s="136"/>
      <c r="C34" s="137" t="s">
        <v>1181</v>
      </c>
      <c r="D34" s="137" t="s">
        <v>1182</v>
      </c>
      <c r="E34" s="137" t="s">
        <v>27</v>
      </c>
      <c r="F34" s="129" t="s">
        <v>4312</v>
      </c>
      <c r="G34" s="137"/>
    </row>
    <row r="35" spans="1:7" s="103" customFormat="1" ht="71.25" x14ac:dyDescent="0.2">
      <c r="A35" s="135"/>
      <c r="B35" s="136" t="s">
        <v>3012</v>
      </c>
      <c r="C35" s="137" t="s">
        <v>1183</v>
      </c>
      <c r="D35" s="137" t="s">
        <v>1184</v>
      </c>
      <c r="E35" s="137" t="s">
        <v>392</v>
      </c>
      <c r="F35" s="129" t="s">
        <v>4313</v>
      </c>
      <c r="G35" s="137"/>
    </row>
    <row r="36" spans="1:7" s="103" customFormat="1" ht="42.75" x14ac:dyDescent="0.2">
      <c r="A36" s="135"/>
      <c r="B36" s="136" t="s">
        <v>3012</v>
      </c>
      <c r="C36" s="137" t="s">
        <v>1185</v>
      </c>
      <c r="D36" s="137" t="s">
        <v>1182</v>
      </c>
      <c r="E36" s="137" t="s">
        <v>1186</v>
      </c>
      <c r="F36" s="129" t="s">
        <v>4314</v>
      </c>
      <c r="G36" s="137"/>
    </row>
    <row r="37" spans="1:7" s="103" customFormat="1" ht="42.75" x14ac:dyDescent="0.2">
      <c r="A37" s="135"/>
      <c r="B37" s="136" t="s">
        <v>3012</v>
      </c>
      <c r="C37" s="137" t="s">
        <v>1187</v>
      </c>
      <c r="D37" s="137" t="s">
        <v>1189</v>
      </c>
      <c r="E37" s="137" t="s">
        <v>1188</v>
      </c>
      <c r="F37" s="129" t="s">
        <v>4315</v>
      </c>
      <c r="G37" s="137"/>
    </row>
    <row r="38" spans="1:7" s="103" customFormat="1" ht="42.75" x14ac:dyDescent="0.2">
      <c r="A38" s="135"/>
      <c r="B38" s="136"/>
      <c r="C38" s="137" t="s">
        <v>1190</v>
      </c>
      <c r="D38" s="137" t="s">
        <v>1192</v>
      </c>
      <c r="E38" s="137" t="s">
        <v>1191</v>
      </c>
      <c r="F38" s="129" t="s">
        <v>4316</v>
      </c>
      <c r="G38" s="137"/>
    </row>
    <row r="39" spans="1:7" s="103" customFormat="1" ht="114" x14ac:dyDescent="0.2">
      <c r="A39" s="135"/>
      <c r="B39" s="136" t="s">
        <v>3012</v>
      </c>
      <c r="C39" s="137" t="s">
        <v>1193</v>
      </c>
      <c r="D39" s="137" t="s">
        <v>1195</v>
      </c>
      <c r="E39" s="137" t="s">
        <v>1194</v>
      </c>
      <c r="F39" s="137" t="s">
        <v>1196</v>
      </c>
      <c r="G39" s="137"/>
    </row>
    <row r="40" spans="1:7" s="103" customFormat="1" ht="57" customHeight="1" x14ac:dyDescent="0.2">
      <c r="A40" s="135"/>
      <c r="B40" s="136"/>
      <c r="C40" s="137" t="s">
        <v>1197</v>
      </c>
      <c r="D40" s="137" t="s">
        <v>1182</v>
      </c>
      <c r="E40" s="137" t="s">
        <v>1198</v>
      </c>
      <c r="F40" s="129" t="s">
        <v>4317</v>
      </c>
      <c r="G40" s="137"/>
    </row>
    <row r="41" spans="1:7" s="103" customFormat="1" ht="77.25" customHeight="1" x14ac:dyDescent="0.2">
      <c r="A41" s="135"/>
      <c r="B41" s="136"/>
      <c r="C41" s="137" t="s">
        <v>1199</v>
      </c>
      <c r="D41" s="137" t="s">
        <v>1177</v>
      </c>
      <c r="E41" s="137" t="s">
        <v>1200</v>
      </c>
      <c r="F41" s="129" t="s">
        <v>4318</v>
      </c>
      <c r="G41" s="137"/>
    </row>
    <row r="42" spans="1:7" s="103" customFormat="1" ht="85.5" x14ac:dyDescent="0.2">
      <c r="A42" s="135"/>
      <c r="B42" s="136"/>
      <c r="C42" s="137" t="s">
        <v>1201</v>
      </c>
      <c r="D42" s="137" t="s">
        <v>1177</v>
      </c>
      <c r="E42" s="137" t="s">
        <v>1202</v>
      </c>
      <c r="F42" s="129" t="s">
        <v>4319</v>
      </c>
      <c r="G42" s="137" t="s">
        <v>1203</v>
      </c>
    </row>
    <row r="43" spans="1:7" s="103" customFormat="1" ht="213.75" x14ac:dyDescent="0.2">
      <c r="A43" s="135"/>
      <c r="B43" s="136"/>
      <c r="C43" s="137" t="s">
        <v>1204</v>
      </c>
      <c r="D43" s="137" t="s">
        <v>1206</v>
      </c>
      <c r="E43" s="137" t="s">
        <v>1205</v>
      </c>
      <c r="F43" s="141" t="s">
        <v>4320</v>
      </c>
      <c r="G43" s="137" t="s">
        <v>1207</v>
      </c>
    </row>
    <row r="44" spans="1:7" s="103" customFormat="1" ht="42.75" x14ac:dyDescent="0.2">
      <c r="A44" s="135"/>
      <c r="B44" s="136"/>
      <c r="C44" s="137" t="s">
        <v>1208</v>
      </c>
      <c r="D44" s="137" t="s">
        <v>1210</v>
      </c>
      <c r="E44" s="137" t="s">
        <v>1209</v>
      </c>
      <c r="F44" s="129" t="s">
        <v>4321</v>
      </c>
      <c r="G44" s="137" t="s">
        <v>1211</v>
      </c>
    </row>
    <row r="45" spans="1:7" s="103" customFormat="1" ht="128.25" x14ac:dyDescent="0.2">
      <c r="A45" s="135"/>
      <c r="B45" s="136"/>
      <c r="C45" s="137" t="s">
        <v>1212</v>
      </c>
      <c r="D45" s="137" t="s">
        <v>1214</v>
      </c>
      <c r="E45" s="137" t="s">
        <v>1213</v>
      </c>
      <c r="F45" s="137" t="s">
        <v>1215</v>
      </c>
      <c r="G45" s="137" t="s">
        <v>3777</v>
      </c>
    </row>
    <row r="46" spans="1:7" s="103" customFormat="1" ht="114" x14ac:dyDescent="0.2">
      <c r="A46" s="135"/>
      <c r="B46" s="136"/>
      <c r="C46" s="137" t="s">
        <v>1216</v>
      </c>
      <c r="D46" s="137" t="s">
        <v>1218</v>
      </c>
      <c r="E46" s="137" t="s">
        <v>1217</v>
      </c>
      <c r="F46" s="129" t="s">
        <v>4322</v>
      </c>
      <c r="G46" s="137" t="s">
        <v>3778</v>
      </c>
    </row>
    <row r="47" spans="1:7" s="103" customFormat="1" ht="28.5" x14ac:dyDescent="0.2">
      <c r="A47" s="135"/>
      <c r="B47" s="136"/>
      <c r="C47" s="137" t="s">
        <v>1219</v>
      </c>
      <c r="D47" s="137" t="s">
        <v>38</v>
      </c>
      <c r="E47" s="137" t="s">
        <v>1220</v>
      </c>
      <c r="F47" s="129" t="s">
        <v>4323</v>
      </c>
      <c r="G47" s="137" t="s">
        <v>1207</v>
      </c>
    </row>
    <row r="48" spans="1:7" s="103" customFormat="1" ht="45.75" customHeight="1" x14ac:dyDescent="0.2">
      <c r="A48" s="135"/>
      <c r="B48" s="136"/>
      <c r="C48" s="137" t="s">
        <v>1221</v>
      </c>
      <c r="D48" s="137" t="s">
        <v>38</v>
      </c>
      <c r="E48" s="137" t="s">
        <v>1222</v>
      </c>
      <c r="F48" s="129" t="s">
        <v>4324</v>
      </c>
      <c r="G48" s="137" t="s">
        <v>1223</v>
      </c>
    </row>
    <row r="49" spans="1:7" s="103" customFormat="1" ht="42.75" x14ac:dyDescent="0.2">
      <c r="A49" s="135"/>
      <c r="B49" s="136"/>
      <c r="C49" s="137" t="s">
        <v>1224</v>
      </c>
      <c r="D49" s="137" t="s">
        <v>1226</v>
      </c>
      <c r="E49" s="137" t="s">
        <v>1225</v>
      </c>
      <c r="F49" s="129" t="s">
        <v>3826</v>
      </c>
      <c r="G49" s="137" t="s">
        <v>1227</v>
      </c>
    </row>
    <row r="50" spans="1:7" s="103" customFormat="1" ht="42.75" x14ac:dyDescent="0.2">
      <c r="A50" s="135"/>
      <c r="B50" s="136"/>
      <c r="C50" s="137" t="s">
        <v>1228</v>
      </c>
      <c r="D50" s="137" t="s">
        <v>1226</v>
      </c>
      <c r="E50" s="137" t="s">
        <v>1229</v>
      </c>
      <c r="F50" s="129" t="s">
        <v>3814</v>
      </c>
      <c r="G50" s="137" t="s">
        <v>1230</v>
      </c>
    </row>
    <row r="51" spans="1:7" s="103" customFormat="1" ht="54" customHeight="1" x14ac:dyDescent="0.2">
      <c r="A51" s="135"/>
      <c r="B51" s="136"/>
      <c r="C51" s="137" t="s">
        <v>1231</v>
      </c>
      <c r="D51" s="137" t="s">
        <v>1233</v>
      </c>
      <c r="E51" s="137" t="s">
        <v>1232</v>
      </c>
      <c r="F51" s="129" t="s">
        <v>3815</v>
      </c>
      <c r="G51" s="137" t="s">
        <v>1234</v>
      </c>
    </row>
    <row r="52" spans="1:7" s="103" customFormat="1" ht="48.75" customHeight="1" x14ac:dyDescent="0.2">
      <c r="A52" s="135"/>
      <c r="B52" s="136" t="s">
        <v>3012</v>
      </c>
      <c r="C52" s="137" t="s">
        <v>1235</v>
      </c>
      <c r="D52" s="137" t="s">
        <v>1233</v>
      </c>
      <c r="E52" s="137" t="s">
        <v>1236</v>
      </c>
      <c r="F52" s="129" t="s">
        <v>3825</v>
      </c>
      <c r="G52" s="137" t="s">
        <v>1237</v>
      </c>
    </row>
    <row r="53" spans="1:7" s="103" customFormat="1" ht="51.75" customHeight="1" x14ac:dyDescent="0.2">
      <c r="A53" s="135"/>
      <c r="B53" s="136"/>
      <c r="C53" s="137" t="s">
        <v>1238</v>
      </c>
      <c r="D53" s="137" t="s">
        <v>1240</v>
      </c>
      <c r="E53" s="137" t="s">
        <v>1239</v>
      </c>
      <c r="F53" s="129" t="s">
        <v>3816</v>
      </c>
      <c r="G53" s="137" t="s">
        <v>1241</v>
      </c>
    </row>
    <row r="54" spans="1:7" s="103" customFormat="1" ht="28.5" x14ac:dyDescent="0.2">
      <c r="A54" s="135"/>
      <c r="B54" s="136" t="s">
        <v>3012</v>
      </c>
      <c r="C54" s="137" t="s">
        <v>1242</v>
      </c>
      <c r="D54" s="137" t="s">
        <v>1244</v>
      </c>
      <c r="E54" s="137" t="s">
        <v>1243</v>
      </c>
      <c r="F54" s="129" t="s">
        <v>4325</v>
      </c>
      <c r="G54" s="137"/>
    </row>
    <row r="55" spans="1:7" s="103" customFormat="1" ht="28.5" x14ac:dyDescent="0.2">
      <c r="A55" s="135"/>
      <c r="B55" s="136"/>
      <c r="C55" s="137" t="s">
        <v>1245</v>
      </c>
      <c r="D55" s="137" t="s">
        <v>1246</v>
      </c>
      <c r="E55" s="137" t="s">
        <v>513</v>
      </c>
      <c r="F55" s="129" t="s">
        <v>4326</v>
      </c>
      <c r="G55" s="137"/>
    </row>
    <row r="56" spans="1:7" s="103" customFormat="1" ht="28.5" x14ac:dyDescent="0.2">
      <c r="A56" s="135"/>
      <c r="B56" s="136"/>
      <c r="C56" s="137" t="s">
        <v>1247</v>
      </c>
      <c r="D56" s="137" t="s">
        <v>1248</v>
      </c>
      <c r="E56" s="137" t="s">
        <v>523</v>
      </c>
      <c r="F56" s="129" t="s">
        <v>3780</v>
      </c>
      <c r="G56" s="137" t="s">
        <v>3779</v>
      </c>
    </row>
    <row r="57" spans="1:7" s="103" customFormat="1" ht="42.75" x14ac:dyDescent="0.2">
      <c r="A57" s="135"/>
      <c r="B57" s="136"/>
      <c r="C57" s="137" t="s">
        <v>1249</v>
      </c>
      <c r="D57" s="137" t="s">
        <v>38</v>
      </c>
      <c r="E57" s="137" t="s">
        <v>1250</v>
      </c>
      <c r="F57" s="137" t="s">
        <v>530</v>
      </c>
      <c r="G57" s="137"/>
    </row>
    <row r="58" spans="1:7" s="103" customFormat="1" ht="42.75" x14ac:dyDescent="0.2">
      <c r="A58" s="135"/>
      <c r="B58" s="136"/>
      <c r="C58" s="137" t="s">
        <v>1251</v>
      </c>
      <c r="D58" s="137" t="s">
        <v>1252</v>
      </c>
      <c r="E58" s="137" t="s">
        <v>532</v>
      </c>
      <c r="F58" s="137" t="s">
        <v>530</v>
      </c>
      <c r="G58" s="137"/>
    </row>
    <row r="59" spans="1:7" s="103" customFormat="1" ht="42.75" x14ac:dyDescent="0.2">
      <c r="A59" s="135"/>
      <c r="B59" s="136"/>
      <c r="C59" s="137" t="s">
        <v>1253</v>
      </c>
      <c r="D59" s="137" t="s">
        <v>1254</v>
      </c>
      <c r="E59" s="137" t="s">
        <v>534</v>
      </c>
      <c r="F59" s="137" t="s">
        <v>530</v>
      </c>
      <c r="G59" s="137"/>
    </row>
    <row r="60" spans="1:7" s="103" customFormat="1" ht="42.75" x14ac:dyDescent="0.2">
      <c r="A60" s="135"/>
      <c r="B60" s="136"/>
      <c r="C60" s="137" t="s">
        <v>1255</v>
      </c>
      <c r="D60" s="137" t="s">
        <v>1256</v>
      </c>
      <c r="E60" s="137" t="s">
        <v>536</v>
      </c>
      <c r="F60" s="137" t="s">
        <v>530</v>
      </c>
      <c r="G60" s="137"/>
    </row>
    <row r="61" spans="1:7" s="103" customFormat="1" ht="46.5" customHeight="1" x14ac:dyDescent="0.2">
      <c r="A61" s="135"/>
      <c r="B61" s="136"/>
      <c r="C61" s="137" t="s">
        <v>1257</v>
      </c>
      <c r="D61" s="137" t="s">
        <v>1258</v>
      </c>
      <c r="E61" s="137" t="s">
        <v>538</v>
      </c>
      <c r="F61" s="137" t="s">
        <v>530</v>
      </c>
      <c r="G61" s="137"/>
    </row>
    <row r="62" spans="1:7" s="103" customFormat="1" ht="42.75" x14ac:dyDescent="0.2">
      <c r="A62" s="135"/>
      <c r="B62" s="136"/>
      <c r="C62" s="137" t="s">
        <v>1259</v>
      </c>
      <c r="D62" s="137" t="s">
        <v>1260</v>
      </c>
      <c r="E62" s="137" t="s">
        <v>540</v>
      </c>
      <c r="F62" s="137" t="s">
        <v>530</v>
      </c>
      <c r="G62" s="137"/>
    </row>
    <row r="63" spans="1:7" s="103" customFormat="1" ht="42.75" x14ac:dyDescent="0.2">
      <c r="A63" s="135"/>
      <c r="B63" s="136"/>
      <c r="C63" s="137" t="s">
        <v>1261</v>
      </c>
      <c r="D63" s="137" t="s">
        <v>1262</v>
      </c>
      <c r="E63" s="137" t="s">
        <v>542</v>
      </c>
      <c r="F63" s="137" t="s">
        <v>530</v>
      </c>
      <c r="G63" s="137"/>
    </row>
    <row r="64" spans="1:7" s="103" customFormat="1" ht="42.75" x14ac:dyDescent="0.2">
      <c r="A64" s="135"/>
      <c r="B64" s="136"/>
      <c r="C64" s="137" t="s">
        <v>1263</v>
      </c>
      <c r="D64" s="137" t="s">
        <v>1264</v>
      </c>
      <c r="E64" s="137" t="s">
        <v>544</v>
      </c>
      <c r="F64" s="137" t="s">
        <v>530</v>
      </c>
      <c r="G64" s="137"/>
    </row>
    <row r="65" spans="1:7" s="103" customFormat="1" ht="42.75" x14ac:dyDescent="0.2">
      <c r="A65" s="135"/>
      <c r="B65" s="136"/>
      <c r="C65" s="137" t="s">
        <v>1265</v>
      </c>
      <c r="D65" s="137" t="s">
        <v>1267</v>
      </c>
      <c r="E65" s="137" t="s">
        <v>1266</v>
      </c>
      <c r="F65" s="137" t="s">
        <v>530</v>
      </c>
      <c r="G65" s="137"/>
    </row>
    <row r="66" spans="1:7" s="103" customFormat="1" ht="28.5" x14ac:dyDescent="0.2">
      <c r="A66" s="135"/>
      <c r="B66" s="136"/>
      <c r="C66" s="137" t="s">
        <v>1268</v>
      </c>
      <c r="D66" s="137" t="s">
        <v>1248</v>
      </c>
      <c r="E66" s="137" t="s">
        <v>1269</v>
      </c>
      <c r="F66" s="137" t="s">
        <v>3780</v>
      </c>
      <c r="G66" s="129" t="s">
        <v>3779</v>
      </c>
    </row>
    <row r="67" spans="1:7" s="103" customFormat="1" ht="48.75" customHeight="1" x14ac:dyDescent="0.2">
      <c r="A67" s="135"/>
      <c r="B67" s="136"/>
      <c r="C67" s="137" t="s">
        <v>1270</v>
      </c>
      <c r="D67" s="137" t="s">
        <v>38</v>
      </c>
      <c r="E67" s="137" t="s">
        <v>1271</v>
      </c>
      <c r="F67" s="137" t="s">
        <v>530</v>
      </c>
      <c r="G67" s="137"/>
    </row>
    <row r="68" spans="1:7" s="103" customFormat="1" ht="45" customHeight="1" x14ac:dyDescent="0.2">
      <c r="A68" s="135"/>
      <c r="B68" s="136"/>
      <c r="C68" s="137" t="s">
        <v>1272</v>
      </c>
      <c r="D68" s="137" t="s">
        <v>1252</v>
      </c>
      <c r="E68" s="137" t="s">
        <v>1273</v>
      </c>
      <c r="F68" s="137" t="s">
        <v>530</v>
      </c>
      <c r="G68" s="137"/>
    </row>
    <row r="69" spans="1:7" s="103" customFormat="1" ht="48" customHeight="1" x14ac:dyDescent="0.2">
      <c r="A69" s="135"/>
      <c r="B69" s="136"/>
      <c r="C69" s="137" t="s">
        <v>1274</v>
      </c>
      <c r="D69" s="137" t="s">
        <v>1254</v>
      </c>
      <c r="E69" s="137" t="s">
        <v>1275</v>
      </c>
      <c r="F69" s="137" t="s">
        <v>530</v>
      </c>
      <c r="G69" s="137"/>
    </row>
    <row r="70" spans="1:7" s="103" customFormat="1" ht="42.75" customHeight="1" x14ac:dyDescent="0.2">
      <c r="A70" s="135"/>
      <c r="B70" s="136"/>
      <c r="C70" s="137" t="s">
        <v>1276</v>
      </c>
      <c r="D70" s="137" t="s">
        <v>1256</v>
      </c>
      <c r="E70" s="137" t="s">
        <v>1277</v>
      </c>
      <c r="F70" s="137" t="s">
        <v>530</v>
      </c>
      <c r="G70" s="137"/>
    </row>
    <row r="71" spans="1:7" s="103" customFormat="1" ht="62.25" customHeight="1" x14ac:dyDescent="0.2">
      <c r="A71" s="135"/>
      <c r="B71" s="136"/>
      <c r="C71" s="137" t="s">
        <v>1278</v>
      </c>
      <c r="D71" s="137" t="s">
        <v>1258</v>
      </c>
      <c r="E71" s="137" t="s">
        <v>1279</v>
      </c>
      <c r="F71" s="137" t="s">
        <v>530</v>
      </c>
      <c r="G71" s="137"/>
    </row>
    <row r="72" spans="1:7" s="103" customFormat="1" ht="48.75" customHeight="1" x14ac:dyDescent="0.2">
      <c r="A72" s="135"/>
      <c r="B72" s="136"/>
      <c r="C72" s="137" t="s">
        <v>1280</v>
      </c>
      <c r="D72" s="137" t="s">
        <v>1260</v>
      </c>
      <c r="E72" s="137" t="s">
        <v>1281</v>
      </c>
      <c r="F72" s="137" t="s">
        <v>530</v>
      </c>
      <c r="G72" s="137"/>
    </row>
    <row r="73" spans="1:7" s="103" customFormat="1" ht="49.5" customHeight="1" x14ac:dyDescent="0.2">
      <c r="A73" s="135"/>
      <c r="B73" s="136"/>
      <c r="C73" s="137" t="s">
        <v>1282</v>
      </c>
      <c r="D73" s="137" t="s">
        <v>1262</v>
      </c>
      <c r="E73" s="137" t="s">
        <v>1283</v>
      </c>
      <c r="F73" s="137" t="s">
        <v>530</v>
      </c>
      <c r="G73" s="137"/>
    </row>
    <row r="74" spans="1:7" s="103" customFormat="1" ht="44.25" customHeight="1" x14ac:dyDescent="0.2">
      <c r="A74" s="135"/>
      <c r="B74" s="136"/>
      <c r="C74" s="137" t="s">
        <v>1284</v>
      </c>
      <c r="D74" s="137" t="s">
        <v>1264</v>
      </c>
      <c r="E74" s="137" t="s">
        <v>1285</v>
      </c>
      <c r="F74" s="137" t="s">
        <v>530</v>
      </c>
      <c r="G74" s="137"/>
    </row>
    <row r="75" spans="1:7" s="103" customFormat="1" ht="47.25" customHeight="1" x14ac:dyDescent="0.2">
      <c r="A75" s="135"/>
      <c r="B75" s="136"/>
      <c r="C75" s="137" t="s">
        <v>1286</v>
      </c>
      <c r="D75" s="137" t="s">
        <v>1267</v>
      </c>
      <c r="E75" s="137" t="s">
        <v>1287</v>
      </c>
      <c r="F75" s="137" t="s">
        <v>530</v>
      </c>
      <c r="G75" s="137"/>
    </row>
    <row r="76" spans="1:7" s="103" customFormat="1" ht="28.5" x14ac:dyDescent="0.2">
      <c r="A76" s="135"/>
      <c r="B76" s="136"/>
      <c r="C76" s="137" t="s">
        <v>1288</v>
      </c>
      <c r="D76" s="137" t="s">
        <v>1290</v>
      </c>
      <c r="E76" s="137" t="s">
        <v>1289</v>
      </c>
      <c r="F76" s="129" t="s">
        <v>4327</v>
      </c>
      <c r="G76" s="137" t="s">
        <v>1291</v>
      </c>
    </row>
    <row r="77" spans="1:7" s="103" customFormat="1" ht="42.75" x14ac:dyDescent="0.2">
      <c r="A77" s="135"/>
      <c r="B77" s="136"/>
      <c r="C77" s="137" t="s">
        <v>1292</v>
      </c>
      <c r="D77" s="139" t="s">
        <v>1294</v>
      </c>
      <c r="E77" s="137" t="s">
        <v>1293</v>
      </c>
      <c r="F77" s="129" t="s">
        <v>4328</v>
      </c>
      <c r="G77" s="137" t="s">
        <v>1295</v>
      </c>
    </row>
    <row r="78" spans="1:7" s="103" customFormat="1" ht="42.75" x14ac:dyDescent="0.2">
      <c r="A78" s="135"/>
      <c r="B78" s="136"/>
      <c r="C78" s="137" t="s">
        <v>1296</v>
      </c>
      <c r="D78" s="137" t="s">
        <v>38</v>
      </c>
      <c r="E78" s="137" t="s">
        <v>1297</v>
      </c>
      <c r="F78" s="137" t="s">
        <v>530</v>
      </c>
      <c r="G78" s="137"/>
    </row>
    <row r="79" spans="1:7" s="103" customFormat="1" ht="42.75" x14ac:dyDescent="0.2">
      <c r="A79" s="135"/>
      <c r="B79" s="136"/>
      <c r="C79" s="137" t="s">
        <v>1298</v>
      </c>
      <c r="D79" s="137" t="s">
        <v>38</v>
      </c>
      <c r="E79" s="137" t="s">
        <v>642</v>
      </c>
      <c r="F79" s="137" t="s">
        <v>530</v>
      </c>
      <c r="G79" s="137"/>
    </row>
    <row r="80" spans="1:7" s="103" customFormat="1" ht="42.75" x14ac:dyDescent="0.2">
      <c r="A80" s="135"/>
      <c r="B80" s="136"/>
      <c r="C80" s="137" t="s">
        <v>1299</v>
      </c>
      <c r="D80" s="137" t="s">
        <v>38</v>
      </c>
      <c r="E80" s="137" t="s">
        <v>1300</v>
      </c>
      <c r="F80" s="137" t="s">
        <v>530</v>
      </c>
      <c r="G80" s="137"/>
    </row>
    <row r="81" spans="1:7" s="103" customFormat="1" ht="33.75" customHeight="1" x14ac:dyDescent="0.2">
      <c r="A81" s="135"/>
      <c r="B81" s="136"/>
      <c r="C81" s="137" t="s">
        <v>1301</v>
      </c>
      <c r="D81" s="137" t="s">
        <v>1303</v>
      </c>
      <c r="E81" s="137" t="s">
        <v>1302</v>
      </c>
      <c r="F81" s="129" t="s">
        <v>4329</v>
      </c>
      <c r="G81" s="137" t="s">
        <v>3781</v>
      </c>
    </row>
    <row r="82" spans="1:7" s="103" customFormat="1" ht="114.75" customHeight="1" x14ac:dyDescent="0.2">
      <c r="A82" s="135"/>
      <c r="B82" s="136" t="s">
        <v>3012</v>
      </c>
      <c r="C82" s="137" t="s">
        <v>1304</v>
      </c>
      <c r="D82" s="137" t="s">
        <v>1306</v>
      </c>
      <c r="E82" s="137" t="s">
        <v>1305</v>
      </c>
      <c r="F82" s="137" t="s">
        <v>3782</v>
      </c>
      <c r="G82" s="137"/>
    </row>
    <row r="83" spans="1:7" s="103" customFormat="1" ht="130.5" customHeight="1" x14ac:dyDescent="0.2">
      <c r="A83" s="135"/>
      <c r="B83" s="136" t="s">
        <v>3012</v>
      </c>
      <c r="C83" s="137" t="s">
        <v>1307</v>
      </c>
      <c r="D83" s="137" t="s">
        <v>1309</v>
      </c>
      <c r="E83" s="137" t="s">
        <v>1308</v>
      </c>
      <c r="F83" s="137" t="s">
        <v>3783</v>
      </c>
      <c r="G83" s="137" t="s">
        <v>1310</v>
      </c>
    </row>
    <row r="84" spans="1:7" s="103" customFormat="1" ht="42.75" x14ac:dyDescent="0.2">
      <c r="A84" s="135"/>
      <c r="B84" s="136"/>
      <c r="C84" s="137" t="s">
        <v>1311</v>
      </c>
      <c r="D84" s="137" t="s">
        <v>1262</v>
      </c>
      <c r="E84" s="137" t="s">
        <v>1312</v>
      </c>
      <c r="F84" s="137" t="s">
        <v>530</v>
      </c>
      <c r="G84" s="137"/>
    </row>
    <row r="85" spans="1:7" s="103" customFormat="1" ht="42.75" x14ac:dyDescent="0.2">
      <c r="A85" s="135"/>
      <c r="B85" s="136"/>
      <c r="C85" s="137" t="s">
        <v>1313</v>
      </c>
      <c r="D85" s="137" t="s">
        <v>1260</v>
      </c>
      <c r="E85" s="137" t="s">
        <v>1314</v>
      </c>
      <c r="F85" s="137" t="s">
        <v>530</v>
      </c>
      <c r="G85" s="137"/>
    </row>
    <row r="86" spans="1:7" s="103" customFormat="1" ht="42.75" x14ac:dyDescent="0.2">
      <c r="A86" s="135"/>
      <c r="B86" s="136"/>
      <c r="C86" s="137" t="s">
        <v>1315</v>
      </c>
      <c r="D86" s="137" t="s">
        <v>1258</v>
      </c>
      <c r="E86" s="137" t="s">
        <v>586</v>
      </c>
      <c r="F86" s="137" t="s">
        <v>530</v>
      </c>
      <c r="G86" s="137"/>
    </row>
    <row r="87" spans="1:7" s="103" customFormat="1" ht="42.75" x14ac:dyDescent="0.2">
      <c r="A87" s="135"/>
      <c r="B87" s="136"/>
      <c r="C87" s="137" t="s">
        <v>1316</v>
      </c>
      <c r="D87" s="137" t="s">
        <v>1256</v>
      </c>
      <c r="E87" s="137" t="s">
        <v>1317</v>
      </c>
      <c r="F87" s="137" t="s">
        <v>530</v>
      </c>
      <c r="G87" s="137"/>
    </row>
    <row r="88" spans="1:7" s="103" customFormat="1" ht="42.75" x14ac:dyDescent="0.2">
      <c r="A88" s="135"/>
      <c r="B88" s="136"/>
      <c r="C88" s="137" t="s">
        <v>1318</v>
      </c>
      <c r="D88" s="137" t="s">
        <v>1254</v>
      </c>
      <c r="E88" s="137" t="s">
        <v>1319</v>
      </c>
      <c r="F88" s="137" t="s">
        <v>530</v>
      </c>
      <c r="G88" s="137"/>
    </row>
    <row r="89" spans="1:7" s="103" customFormat="1" ht="42.75" x14ac:dyDescent="0.2">
      <c r="A89" s="135"/>
      <c r="B89" s="136"/>
      <c r="C89" s="137" t="s">
        <v>1320</v>
      </c>
      <c r="D89" s="137" t="s">
        <v>1264</v>
      </c>
      <c r="E89" s="137" t="s">
        <v>1321</v>
      </c>
      <c r="F89" s="137" t="s">
        <v>530</v>
      </c>
      <c r="G89" s="137"/>
    </row>
    <row r="90" spans="1:7" s="103" customFormat="1" ht="228" x14ac:dyDescent="0.2">
      <c r="A90" s="135"/>
      <c r="B90" s="136"/>
      <c r="C90" s="137" t="s">
        <v>1322</v>
      </c>
      <c r="D90" s="137" t="s">
        <v>1324</v>
      </c>
      <c r="E90" s="137" t="s">
        <v>1323</v>
      </c>
      <c r="F90" s="129" t="s">
        <v>4330</v>
      </c>
      <c r="G90" s="137" t="s">
        <v>3784</v>
      </c>
    </row>
    <row r="91" spans="1:7" s="103" customFormat="1" ht="71.25" x14ac:dyDescent="0.2">
      <c r="A91" s="135"/>
      <c r="B91" s="136"/>
      <c r="C91" s="137" t="s">
        <v>1326</v>
      </c>
      <c r="D91" s="137" t="s">
        <v>1324</v>
      </c>
      <c r="E91" s="137" t="s">
        <v>1327</v>
      </c>
      <c r="F91" s="137" t="s">
        <v>1325</v>
      </c>
      <c r="G91" s="137" t="s">
        <v>3785</v>
      </c>
    </row>
    <row r="92" spans="1:7" s="103" customFormat="1" ht="71.25" x14ac:dyDescent="0.2">
      <c r="A92" s="135"/>
      <c r="B92" s="136"/>
      <c r="C92" s="137" t="s">
        <v>1328</v>
      </c>
      <c r="D92" s="137" t="s">
        <v>1324</v>
      </c>
      <c r="E92" s="137" t="s">
        <v>1329</v>
      </c>
      <c r="F92" s="137" t="s">
        <v>1325</v>
      </c>
      <c r="G92" s="137" t="s">
        <v>3785</v>
      </c>
    </row>
    <row r="93" spans="1:7" s="103" customFormat="1" ht="71.25" x14ac:dyDescent="0.2">
      <c r="A93" s="135"/>
      <c r="B93" s="136"/>
      <c r="C93" s="137" t="s">
        <v>1330</v>
      </c>
      <c r="D93" s="137" t="s">
        <v>1324</v>
      </c>
      <c r="E93" s="137" t="s">
        <v>1331</v>
      </c>
      <c r="F93" s="137" t="s">
        <v>1325</v>
      </c>
      <c r="G93" s="137" t="s">
        <v>3785</v>
      </c>
    </row>
    <row r="94" spans="1:7" s="103" customFormat="1" ht="28.5" x14ac:dyDescent="0.2">
      <c r="A94" s="135"/>
      <c r="B94" s="136" t="s">
        <v>3012</v>
      </c>
      <c r="C94" s="137" t="s">
        <v>1332</v>
      </c>
      <c r="D94" s="137" t="s">
        <v>1333</v>
      </c>
      <c r="E94" s="137" t="s">
        <v>689</v>
      </c>
      <c r="F94" s="137" t="s">
        <v>3786</v>
      </c>
      <c r="G94" s="137"/>
    </row>
    <row r="95" spans="1:7" s="103" customFormat="1" ht="99.75" x14ac:dyDescent="0.2">
      <c r="A95" s="135"/>
      <c r="B95" s="136"/>
      <c r="C95" s="137" t="s">
        <v>1334</v>
      </c>
      <c r="D95" s="137" t="s">
        <v>1336</v>
      </c>
      <c r="E95" s="137" t="s">
        <v>1335</v>
      </c>
      <c r="F95" s="137" t="s">
        <v>3787</v>
      </c>
      <c r="G95" s="137" t="s">
        <v>3788</v>
      </c>
    </row>
    <row r="96" spans="1:7" s="103" customFormat="1" ht="242.25" x14ac:dyDescent="0.2">
      <c r="A96" s="135"/>
      <c r="B96" s="136"/>
      <c r="C96" s="137" t="s">
        <v>1337</v>
      </c>
      <c r="D96" s="137" t="s">
        <v>1324</v>
      </c>
      <c r="E96" s="137" t="s">
        <v>1338</v>
      </c>
      <c r="F96" s="129" t="s">
        <v>4331</v>
      </c>
      <c r="G96" s="137" t="s">
        <v>1339</v>
      </c>
    </row>
    <row r="97" spans="1:7" s="103" customFormat="1" ht="45" customHeight="1" x14ac:dyDescent="0.2">
      <c r="A97" s="135"/>
      <c r="B97" s="136"/>
      <c r="C97" s="137" t="s">
        <v>1340</v>
      </c>
      <c r="D97" s="137" t="s">
        <v>1342</v>
      </c>
      <c r="E97" s="137" t="s">
        <v>1341</v>
      </c>
      <c r="F97" s="137" t="s">
        <v>3789</v>
      </c>
      <c r="G97" s="137" t="s">
        <v>1343</v>
      </c>
    </row>
    <row r="98" spans="1:7" s="103" customFormat="1" ht="156.75" x14ac:dyDescent="0.2">
      <c r="A98" s="135"/>
      <c r="B98" s="136"/>
      <c r="C98" s="137" t="s">
        <v>1344</v>
      </c>
      <c r="D98" s="137" t="s">
        <v>1346</v>
      </c>
      <c r="E98" s="137" t="s">
        <v>1345</v>
      </c>
      <c r="F98" s="137" t="s">
        <v>3790</v>
      </c>
      <c r="G98" s="137" t="s">
        <v>3791</v>
      </c>
    </row>
    <row r="99" spans="1:7" s="103" customFormat="1" ht="97.5" customHeight="1" x14ac:dyDescent="0.2">
      <c r="A99" s="135"/>
      <c r="B99" s="136"/>
      <c r="C99" s="137" t="s">
        <v>1347</v>
      </c>
      <c r="D99" s="137" t="s">
        <v>1218</v>
      </c>
      <c r="E99" s="137" t="s">
        <v>1348</v>
      </c>
      <c r="F99" s="137" t="s">
        <v>3792</v>
      </c>
      <c r="G99" s="137" t="s">
        <v>1349</v>
      </c>
    </row>
    <row r="100" spans="1:7" s="103" customFormat="1" ht="57" x14ac:dyDescent="0.2">
      <c r="A100" s="135"/>
      <c r="B100" s="136"/>
      <c r="C100" s="137" t="s">
        <v>1350</v>
      </c>
      <c r="D100" s="137" t="s">
        <v>1352</v>
      </c>
      <c r="E100" s="137" t="s">
        <v>1351</v>
      </c>
      <c r="F100" s="137" t="s">
        <v>3793</v>
      </c>
      <c r="G100" s="137"/>
    </row>
    <row r="101" spans="1:7" s="103" customFormat="1" ht="149.25" customHeight="1" x14ac:dyDescent="0.2">
      <c r="A101" s="135"/>
      <c r="B101" s="136"/>
      <c r="C101" s="137" t="s">
        <v>1353</v>
      </c>
      <c r="D101" s="137" t="s">
        <v>1355</v>
      </c>
      <c r="E101" s="137" t="s">
        <v>1354</v>
      </c>
      <c r="F101" s="137" t="s">
        <v>3794</v>
      </c>
      <c r="G101" s="137"/>
    </row>
    <row r="102" spans="1:7" s="103" customFormat="1" ht="42.75" x14ac:dyDescent="0.2">
      <c r="A102" s="135"/>
      <c r="B102" s="136"/>
      <c r="C102" s="137" t="s">
        <v>1356</v>
      </c>
      <c r="D102" s="137" t="s">
        <v>1139</v>
      </c>
      <c r="E102" s="137" t="s">
        <v>1357</v>
      </c>
      <c r="F102" s="137" t="s">
        <v>3795</v>
      </c>
      <c r="G102" s="137" t="s">
        <v>3796</v>
      </c>
    </row>
    <row r="103" spans="1:7" s="103" customFormat="1" ht="42.75" x14ac:dyDescent="0.2">
      <c r="A103" s="135"/>
      <c r="B103" s="136"/>
      <c r="C103" s="137" t="s">
        <v>1358</v>
      </c>
      <c r="D103" s="137" t="s">
        <v>1139</v>
      </c>
      <c r="E103" s="137" t="s">
        <v>1357</v>
      </c>
      <c r="F103" s="137" t="s">
        <v>3795</v>
      </c>
      <c r="G103" s="137" t="s">
        <v>3796</v>
      </c>
    </row>
    <row r="104" spans="1:7" s="103" customFormat="1" ht="28.5" x14ac:dyDescent="0.2">
      <c r="A104" s="135"/>
      <c r="B104" s="136"/>
      <c r="C104" s="137" t="s">
        <v>1359</v>
      </c>
      <c r="D104" s="137" t="s">
        <v>1114</v>
      </c>
      <c r="E104" s="137" t="s">
        <v>1360</v>
      </c>
      <c r="F104" s="138" t="s">
        <v>4560</v>
      </c>
      <c r="G104" s="137" t="s">
        <v>3797</v>
      </c>
    </row>
    <row r="105" spans="1:7" s="103" customFormat="1" ht="133.5" customHeight="1" x14ac:dyDescent="0.2">
      <c r="A105" s="135"/>
      <c r="B105" s="136"/>
      <c r="C105" s="137" t="s">
        <v>1361</v>
      </c>
      <c r="D105" s="137" t="s">
        <v>1336</v>
      </c>
      <c r="E105" s="137" t="s">
        <v>1362</v>
      </c>
      <c r="F105" s="137" t="s">
        <v>3798</v>
      </c>
      <c r="G105" s="137"/>
    </row>
    <row r="106" spans="1:7" s="103" customFormat="1" ht="71.25" x14ac:dyDescent="0.2">
      <c r="A106" s="135"/>
      <c r="B106" s="136"/>
      <c r="C106" s="137" t="s">
        <v>1363</v>
      </c>
      <c r="D106" s="137" t="s">
        <v>1182</v>
      </c>
      <c r="E106" s="137" t="s">
        <v>1364</v>
      </c>
      <c r="F106" s="137" t="s">
        <v>3799</v>
      </c>
      <c r="G106" s="137"/>
    </row>
    <row r="107" spans="1:7" s="103" customFormat="1" ht="57" x14ac:dyDescent="0.2">
      <c r="A107" s="135"/>
      <c r="B107" s="136"/>
      <c r="C107" s="137" t="s">
        <v>1365</v>
      </c>
      <c r="D107" s="137" t="s">
        <v>1367</v>
      </c>
      <c r="E107" s="137" t="s">
        <v>1366</v>
      </c>
      <c r="F107" s="137" t="s">
        <v>3800</v>
      </c>
      <c r="G107" s="137" t="s">
        <v>1368</v>
      </c>
    </row>
    <row r="108" spans="1:7" s="103" customFormat="1" ht="32.25" customHeight="1" x14ac:dyDescent="0.2">
      <c r="A108" s="135"/>
      <c r="B108" s="136"/>
      <c r="C108" s="137" t="s">
        <v>1369</v>
      </c>
      <c r="D108" s="137" t="s">
        <v>38</v>
      </c>
      <c r="E108" s="137" t="s">
        <v>1370</v>
      </c>
      <c r="F108" s="137"/>
      <c r="G108" s="137" t="s">
        <v>3801</v>
      </c>
    </row>
    <row r="109" spans="1:7" s="103" customFormat="1" ht="30.75" customHeight="1" x14ac:dyDescent="0.2">
      <c r="A109" s="135"/>
      <c r="B109" s="136"/>
      <c r="C109" s="137" t="s">
        <v>1371</v>
      </c>
      <c r="D109" s="137" t="s">
        <v>38</v>
      </c>
      <c r="E109" s="137" t="s">
        <v>1372</v>
      </c>
      <c r="F109" s="137"/>
      <c r="G109" s="137" t="s">
        <v>3801</v>
      </c>
    </row>
    <row r="110" spans="1:7" s="103" customFormat="1" ht="33" customHeight="1" x14ac:dyDescent="0.2">
      <c r="A110" s="135"/>
      <c r="B110" s="136"/>
      <c r="C110" s="137" t="s">
        <v>1373</v>
      </c>
      <c r="D110" s="137" t="s">
        <v>38</v>
      </c>
      <c r="E110" s="137" t="s">
        <v>1374</v>
      </c>
      <c r="F110" s="137"/>
      <c r="G110" s="137" t="s">
        <v>3801</v>
      </c>
    </row>
    <row r="111" spans="1:7" s="103" customFormat="1" ht="32.25" customHeight="1" x14ac:dyDescent="0.2">
      <c r="A111" s="135"/>
      <c r="B111" s="136"/>
      <c r="C111" s="137" t="s">
        <v>1375</v>
      </c>
      <c r="D111" s="137" t="s">
        <v>38</v>
      </c>
      <c r="E111" s="137" t="s">
        <v>1376</v>
      </c>
      <c r="F111" s="137"/>
      <c r="G111" s="137" t="s">
        <v>3801</v>
      </c>
    </row>
    <row r="112" spans="1:7" s="103" customFormat="1" ht="32.25" customHeight="1" x14ac:dyDescent="0.2">
      <c r="A112" s="135"/>
      <c r="B112" s="136"/>
      <c r="C112" s="137" t="s">
        <v>1377</v>
      </c>
      <c r="D112" s="137" t="s">
        <v>38</v>
      </c>
      <c r="E112" s="137" t="s">
        <v>1378</v>
      </c>
      <c r="F112" s="137"/>
      <c r="G112" s="137" t="s">
        <v>3801</v>
      </c>
    </row>
    <row r="113" spans="1:15" s="103" customFormat="1" ht="33" customHeight="1" x14ac:dyDescent="0.2">
      <c r="A113" s="135"/>
      <c r="B113" s="136"/>
      <c r="C113" s="137" t="s">
        <v>1379</v>
      </c>
      <c r="D113" s="137" t="s">
        <v>38</v>
      </c>
      <c r="E113" s="137" t="s">
        <v>1380</v>
      </c>
      <c r="F113" s="137"/>
      <c r="G113" s="137" t="s">
        <v>3801</v>
      </c>
    </row>
    <row r="114" spans="1:15" s="103" customFormat="1" ht="34.5" customHeight="1" x14ac:dyDescent="0.2">
      <c r="A114" s="135"/>
      <c r="B114" s="136"/>
      <c r="C114" s="137" t="s">
        <v>1381</v>
      </c>
      <c r="D114" s="137" t="s">
        <v>38</v>
      </c>
      <c r="E114" s="137" t="s">
        <v>1382</v>
      </c>
      <c r="F114" s="137"/>
      <c r="G114" s="137" t="s">
        <v>3801</v>
      </c>
    </row>
    <row r="115" spans="1:15" s="103" customFormat="1" ht="35.25" customHeight="1" x14ac:dyDescent="0.2">
      <c r="A115" s="135"/>
      <c r="B115" s="136"/>
      <c r="C115" s="137" t="s">
        <v>1383</v>
      </c>
      <c r="D115" s="137" t="s">
        <v>38</v>
      </c>
      <c r="E115" s="137" t="s">
        <v>1384</v>
      </c>
      <c r="F115" s="137"/>
      <c r="G115" s="137" t="s">
        <v>3801</v>
      </c>
    </row>
    <row r="116" spans="1:15" s="103" customFormat="1" ht="30.75" customHeight="1" x14ac:dyDescent="0.2">
      <c r="A116" s="135"/>
      <c r="B116" s="136"/>
      <c r="C116" s="137" t="s">
        <v>1385</v>
      </c>
      <c r="D116" s="137" t="s">
        <v>38</v>
      </c>
      <c r="E116" s="137" t="s">
        <v>1386</v>
      </c>
      <c r="F116" s="137"/>
      <c r="G116" s="137" t="s">
        <v>3801</v>
      </c>
    </row>
    <row r="117" spans="1:15" s="103" customFormat="1" ht="36" customHeight="1" x14ac:dyDescent="0.2">
      <c r="A117" s="135"/>
      <c r="B117" s="136"/>
      <c r="C117" s="137" t="s">
        <v>1387</v>
      </c>
      <c r="D117" s="137" t="s">
        <v>38</v>
      </c>
      <c r="E117" s="137" t="s">
        <v>1388</v>
      </c>
      <c r="F117" s="137"/>
      <c r="G117" s="137" t="s">
        <v>3801</v>
      </c>
    </row>
    <row r="118" spans="1:15" s="103" customFormat="1" ht="28.5" x14ac:dyDescent="0.2">
      <c r="A118" s="135"/>
      <c r="B118" s="136"/>
      <c r="C118" s="137" t="s">
        <v>1389</v>
      </c>
      <c r="D118" s="137" t="s">
        <v>38</v>
      </c>
      <c r="E118" s="137" t="s">
        <v>1370</v>
      </c>
      <c r="F118" s="137"/>
      <c r="G118" s="137" t="s">
        <v>3801</v>
      </c>
    </row>
    <row r="119" spans="1:15" ht="15" x14ac:dyDescent="0.2">
      <c r="A119" s="219" t="s">
        <v>4299</v>
      </c>
      <c r="B119" s="219"/>
      <c r="C119" s="219"/>
      <c r="D119" s="219"/>
      <c r="E119" s="219"/>
      <c r="F119" s="219"/>
      <c r="G119" s="219"/>
      <c r="H119" s="219"/>
      <c r="I119" s="219"/>
      <c r="J119" s="219"/>
      <c r="K119" s="219"/>
      <c r="L119" s="219"/>
      <c r="M119" s="219"/>
      <c r="N119" s="219"/>
      <c r="O119" s="219"/>
    </row>
    <row r="120" spans="1:15" s="103" customFormat="1" ht="156.75" x14ac:dyDescent="0.2">
      <c r="A120" s="135"/>
      <c r="B120" s="136"/>
      <c r="C120" s="137" t="s">
        <v>1390</v>
      </c>
      <c r="D120" s="137" t="s">
        <v>1392</v>
      </c>
      <c r="E120" s="137" t="s">
        <v>1391</v>
      </c>
      <c r="F120" s="129" t="s">
        <v>4332</v>
      </c>
      <c r="G120" s="138" t="s">
        <v>4561</v>
      </c>
    </row>
    <row r="121" spans="1:15" s="103" customFormat="1" ht="28.5" x14ac:dyDescent="0.2">
      <c r="A121" s="135"/>
      <c r="B121" s="136" t="s">
        <v>3012</v>
      </c>
      <c r="C121" s="137" t="s">
        <v>1393</v>
      </c>
      <c r="D121" s="139" t="s">
        <v>1394</v>
      </c>
      <c r="E121" s="137" t="s">
        <v>1107</v>
      </c>
      <c r="F121" s="137" t="s">
        <v>3802</v>
      </c>
      <c r="G121" s="137"/>
    </row>
    <row r="122" spans="1:15" s="103" customFormat="1" ht="28.5" x14ac:dyDescent="0.2">
      <c r="A122" s="135"/>
      <c r="B122" s="136"/>
      <c r="C122" s="137" t="s">
        <v>1395</v>
      </c>
      <c r="D122" s="137" t="s">
        <v>1111</v>
      </c>
      <c r="E122" s="137" t="s">
        <v>1110</v>
      </c>
      <c r="F122" s="137" t="s">
        <v>3803</v>
      </c>
      <c r="G122" s="137" t="s">
        <v>3804</v>
      </c>
    </row>
    <row r="123" spans="1:15" s="103" customFormat="1" ht="28.5" x14ac:dyDescent="0.2">
      <c r="A123" s="135"/>
      <c r="B123" s="136"/>
      <c r="C123" s="137" t="s">
        <v>1396</v>
      </c>
      <c r="D123" s="137" t="s">
        <v>1131</v>
      </c>
      <c r="E123" s="137" t="s">
        <v>1130</v>
      </c>
      <c r="F123" s="137" t="s">
        <v>1397</v>
      </c>
      <c r="G123" s="137" t="s">
        <v>3805</v>
      </c>
    </row>
    <row r="124" spans="1:15" s="103" customFormat="1" ht="28.5" x14ac:dyDescent="0.2">
      <c r="A124" s="135"/>
      <c r="B124" s="136"/>
      <c r="C124" s="137" t="s">
        <v>1398</v>
      </c>
      <c r="D124" s="137" t="s">
        <v>1131</v>
      </c>
      <c r="E124" s="137" t="s">
        <v>1134</v>
      </c>
      <c r="F124" s="137" t="s">
        <v>1397</v>
      </c>
      <c r="G124" s="129" t="s">
        <v>4349</v>
      </c>
    </row>
    <row r="125" spans="1:15" s="103" customFormat="1" ht="28.5" x14ac:dyDescent="0.2">
      <c r="A125" s="135"/>
      <c r="B125" s="136"/>
      <c r="C125" s="137" t="s">
        <v>1399</v>
      </c>
      <c r="D125" s="137" t="s">
        <v>1131</v>
      </c>
      <c r="E125" s="137" t="s">
        <v>1136</v>
      </c>
      <c r="F125" s="137" t="s">
        <v>1397</v>
      </c>
      <c r="G125" s="129" t="s">
        <v>4349</v>
      </c>
    </row>
    <row r="126" spans="1:15" s="103" customFormat="1" ht="42.75" x14ac:dyDescent="0.2">
      <c r="A126" s="135"/>
      <c r="B126" s="136"/>
      <c r="C126" s="137" t="s">
        <v>1400</v>
      </c>
      <c r="D126" s="137" t="s">
        <v>1114</v>
      </c>
      <c r="E126" s="137" t="s">
        <v>1113</v>
      </c>
      <c r="F126" s="137" t="s">
        <v>3806</v>
      </c>
      <c r="G126" s="137" t="s">
        <v>3807</v>
      </c>
    </row>
    <row r="127" spans="1:15" s="103" customFormat="1" ht="28.5" x14ac:dyDescent="0.2">
      <c r="A127" s="135"/>
      <c r="B127" s="136"/>
      <c r="C127" s="137" t="s">
        <v>1401</v>
      </c>
      <c r="D127" s="137" t="s">
        <v>1118</v>
      </c>
      <c r="E127" s="137" t="s">
        <v>1121</v>
      </c>
      <c r="F127" s="137" t="s">
        <v>3808</v>
      </c>
      <c r="G127" s="137"/>
    </row>
    <row r="128" spans="1:15" s="103" customFormat="1" ht="28.5" x14ac:dyDescent="0.2">
      <c r="A128" s="135"/>
      <c r="B128" s="136" t="s">
        <v>3012</v>
      </c>
      <c r="C128" s="137" t="s">
        <v>1402</v>
      </c>
      <c r="D128" s="137" t="s">
        <v>1124</v>
      </c>
      <c r="E128" s="137" t="s">
        <v>1123</v>
      </c>
      <c r="F128" s="137" t="s">
        <v>3809</v>
      </c>
      <c r="G128" s="137"/>
    </row>
    <row r="129" spans="1:7" s="103" customFormat="1" ht="71.25" x14ac:dyDescent="0.2">
      <c r="A129" s="135"/>
      <c r="B129" s="136" t="s">
        <v>3012</v>
      </c>
      <c r="C129" s="137" t="s">
        <v>1403</v>
      </c>
      <c r="D129" s="137" t="s">
        <v>1118</v>
      </c>
      <c r="E129" s="137" t="s">
        <v>1117</v>
      </c>
      <c r="F129" s="129" t="s">
        <v>3808</v>
      </c>
      <c r="G129" s="137" t="s">
        <v>1404</v>
      </c>
    </row>
    <row r="130" spans="1:7" s="103" customFormat="1" ht="78" customHeight="1" x14ac:dyDescent="0.2">
      <c r="A130" s="135"/>
      <c r="B130" s="136"/>
      <c r="C130" s="137" t="s">
        <v>1405</v>
      </c>
      <c r="D130" s="137" t="s">
        <v>1145</v>
      </c>
      <c r="E130" s="137" t="s">
        <v>1406</v>
      </c>
      <c r="F130" s="137" t="s">
        <v>3810</v>
      </c>
      <c r="G130" s="137" t="s">
        <v>3811</v>
      </c>
    </row>
    <row r="131" spans="1:7" s="103" customFormat="1" ht="99.75" x14ac:dyDescent="0.2">
      <c r="A131" s="135"/>
      <c r="B131" s="136"/>
      <c r="C131" s="137" t="s">
        <v>1407</v>
      </c>
      <c r="D131" s="137" t="s">
        <v>1145</v>
      </c>
      <c r="E131" s="137" t="s">
        <v>1408</v>
      </c>
      <c r="F131" s="137" t="s">
        <v>3812</v>
      </c>
      <c r="G131" s="137" t="s">
        <v>3813</v>
      </c>
    </row>
    <row r="132" spans="1:7" s="103" customFormat="1" ht="42.75" x14ac:dyDescent="0.2">
      <c r="A132" s="135"/>
      <c r="B132" s="136"/>
      <c r="C132" s="137" t="s">
        <v>1409</v>
      </c>
      <c r="D132" s="137" t="s">
        <v>1410</v>
      </c>
      <c r="E132" s="137" t="s">
        <v>1225</v>
      </c>
      <c r="F132" s="137" t="s">
        <v>3826</v>
      </c>
      <c r="G132" s="137" t="s">
        <v>1227</v>
      </c>
    </row>
    <row r="133" spans="1:7" s="103" customFormat="1" ht="42.75" x14ac:dyDescent="0.2">
      <c r="A133" s="135"/>
      <c r="B133" s="136"/>
      <c r="C133" s="137" t="s">
        <v>1411</v>
      </c>
      <c r="D133" s="137" t="s">
        <v>1410</v>
      </c>
      <c r="E133" s="137" t="s">
        <v>1412</v>
      </c>
      <c r="F133" s="137" t="s">
        <v>3814</v>
      </c>
      <c r="G133" s="137" t="s">
        <v>1230</v>
      </c>
    </row>
    <row r="134" spans="1:7" s="103" customFormat="1" ht="48" customHeight="1" x14ac:dyDescent="0.2">
      <c r="A134" s="135"/>
      <c r="B134" s="136"/>
      <c r="C134" s="137" t="s">
        <v>1413</v>
      </c>
      <c r="D134" s="137" t="s">
        <v>1233</v>
      </c>
      <c r="E134" s="137" t="s">
        <v>1232</v>
      </c>
      <c r="F134" s="137" t="s">
        <v>3815</v>
      </c>
      <c r="G134" s="137" t="s">
        <v>1234</v>
      </c>
    </row>
    <row r="135" spans="1:7" s="103" customFormat="1" ht="48" customHeight="1" x14ac:dyDescent="0.2">
      <c r="A135" s="135"/>
      <c r="B135" s="136"/>
      <c r="C135" s="137" t="s">
        <v>1414</v>
      </c>
      <c r="D135" s="137" t="s">
        <v>1233</v>
      </c>
      <c r="E135" s="137" t="s">
        <v>1415</v>
      </c>
      <c r="F135" s="137" t="s">
        <v>3825</v>
      </c>
      <c r="G135" s="137" t="s">
        <v>3818</v>
      </c>
    </row>
    <row r="136" spans="1:7" s="103" customFormat="1" ht="32.25" customHeight="1" x14ac:dyDescent="0.2">
      <c r="A136" s="135"/>
      <c r="B136" s="136"/>
      <c r="C136" s="137" t="s">
        <v>1416</v>
      </c>
      <c r="D136" s="137" t="s">
        <v>1417</v>
      </c>
      <c r="E136" s="137" t="s">
        <v>1239</v>
      </c>
      <c r="F136" s="137" t="s">
        <v>3816</v>
      </c>
      <c r="G136" s="137" t="s">
        <v>3817</v>
      </c>
    </row>
    <row r="137" spans="1:7" s="103" customFormat="1" ht="57" x14ac:dyDescent="0.2">
      <c r="A137" s="135"/>
      <c r="B137" s="136"/>
      <c r="C137" s="137" t="s">
        <v>1418</v>
      </c>
      <c r="D137" s="137" t="s">
        <v>1420</v>
      </c>
      <c r="E137" s="137" t="s">
        <v>1419</v>
      </c>
      <c r="F137" s="137" t="s">
        <v>3824</v>
      </c>
      <c r="G137" s="137" t="s">
        <v>1421</v>
      </c>
    </row>
    <row r="138" spans="1:7" s="103" customFormat="1" ht="42.75" x14ac:dyDescent="0.2">
      <c r="A138" s="135"/>
      <c r="B138" s="136"/>
      <c r="C138" s="137" t="s">
        <v>1422</v>
      </c>
      <c r="D138" s="137" t="s">
        <v>1420</v>
      </c>
      <c r="E138" s="137" t="s">
        <v>1423</v>
      </c>
      <c r="F138" s="137" t="s">
        <v>3819</v>
      </c>
      <c r="G138" s="137" t="s">
        <v>3820</v>
      </c>
    </row>
    <row r="139" spans="1:7" s="103" customFormat="1" ht="71.25" x14ac:dyDescent="0.2">
      <c r="A139" s="135"/>
      <c r="B139" s="136"/>
      <c r="C139" s="137" t="s">
        <v>1424</v>
      </c>
      <c r="D139" s="137" t="s">
        <v>1420</v>
      </c>
      <c r="E139" s="137" t="s">
        <v>1425</v>
      </c>
      <c r="F139" s="137" t="s">
        <v>3821</v>
      </c>
      <c r="G139" s="137"/>
    </row>
    <row r="140" spans="1:7" s="103" customFormat="1" ht="61.5" customHeight="1" x14ac:dyDescent="0.2">
      <c r="A140" s="135"/>
      <c r="B140" s="136"/>
      <c r="C140" s="137" t="s">
        <v>1426</v>
      </c>
      <c r="D140" s="137" t="s">
        <v>1428</v>
      </c>
      <c r="E140" s="137" t="s">
        <v>1427</v>
      </c>
      <c r="F140" s="137" t="s">
        <v>3822</v>
      </c>
      <c r="G140" s="137"/>
    </row>
    <row r="141" spans="1:7" s="103" customFormat="1" ht="63" customHeight="1" x14ac:dyDescent="0.2">
      <c r="A141" s="135"/>
      <c r="B141" s="136"/>
      <c r="C141" s="137" t="s">
        <v>1429</v>
      </c>
      <c r="D141" s="137" t="s">
        <v>1428</v>
      </c>
      <c r="E141" s="137" t="s">
        <v>1430</v>
      </c>
      <c r="F141" s="137" t="s">
        <v>3823</v>
      </c>
      <c r="G141" s="137"/>
    </row>
    <row r="142" spans="1:7" s="103" customFormat="1" ht="57" x14ac:dyDescent="0.2">
      <c r="A142" s="135"/>
      <c r="B142" s="136"/>
      <c r="C142" s="137" t="s">
        <v>1431</v>
      </c>
      <c r="D142" s="137" t="s">
        <v>1428</v>
      </c>
      <c r="E142" s="137" t="s">
        <v>1432</v>
      </c>
      <c r="F142" s="137" t="s">
        <v>3827</v>
      </c>
      <c r="G142" s="137"/>
    </row>
    <row r="143" spans="1:7" s="103" customFormat="1" ht="57" x14ac:dyDescent="0.2">
      <c r="A143" s="135"/>
      <c r="B143" s="136"/>
      <c r="C143" s="137" t="s">
        <v>1433</v>
      </c>
      <c r="D143" s="137" t="s">
        <v>1428</v>
      </c>
      <c r="E143" s="137" t="s">
        <v>1434</v>
      </c>
      <c r="F143" s="137" t="s">
        <v>3828</v>
      </c>
      <c r="G143" s="137"/>
    </row>
    <row r="144" spans="1:7" s="103" customFormat="1" ht="45" customHeight="1" x14ac:dyDescent="0.2">
      <c r="A144" s="135"/>
      <c r="B144" s="136"/>
      <c r="C144" s="137" t="s">
        <v>1435</v>
      </c>
      <c r="D144" s="137" t="s">
        <v>1428</v>
      </c>
      <c r="E144" s="137" t="s">
        <v>1436</v>
      </c>
      <c r="F144" s="137" t="s">
        <v>3829</v>
      </c>
      <c r="G144" s="137" t="s">
        <v>1437</v>
      </c>
    </row>
    <row r="145" spans="1:7" s="103" customFormat="1" ht="48.75" customHeight="1" x14ac:dyDescent="0.2">
      <c r="A145" s="135"/>
      <c r="B145" s="136"/>
      <c r="C145" s="137" t="s">
        <v>1438</v>
      </c>
      <c r="D145" s="137" t="s">
        <v>1428</v>
      </c>
      <c r="E145" s="137" t="s">
        <v>1439</v>
      </c>
      <c r="F145" s="137" t="s">
        <v>3830</v>
      </c>
      <c r="G145" s="137" t="s">
        <v>1437</v>
      </c>
    </row>
    <row r="146" spans="1:7" s="103" customFormat="1" ht="44.25" customHeight="1" x14ac:dyDescent="0.2">
      <c r="A146" s="135"/>
      <c r="B146" s="136"/>
      <c r="C146" s="137" t="s">
        <v>1440</v>
      </c>
      <c r="D146" s="137" t="s">
        <v>1428</v>
      </c>
      <c r="E146" s="137" t="s">
        <v>1441</v>
      </c>
      <c r="F146" s="137" t="s">
        <v>3831</v>
      </c>
      <c r="G146" s="137" t="s">
        <v>1437</v>
      </c>
    </row>
    <row r="147" spans="1:7" s="103" customFormat="1" ht="48" customHeight="1" x14ac:dyDescent="0.2">
      <c r="A147" s="135"/>
      <c r="B147" s="136"/>
      <c r="C147" s="137" t="s">
        <v>1442</v>
      </c>
      <c r="D147" s="137" t="s">
        <v>1428</v>
      </c>
      <c r="E147" s="137" t="s">
        <v>1443</v>
      </c>
      <c r="F147" s="137" t="s">
        <v>3832</v>
      </c>
      <c r="G147" s="137" t="s">
        <v>1437</v>
      </c>
    </row>
    <row r="148" spans="1:7" s="103" customFormat="1" ht="46.5" customHeight="1" x14ac:dyDescent="0.2">
      <c r="A148" s="135"/>
      <c r="B148" s="136"/>
      <c r="C148" s="137" t="s">
        <v>1444</v>
      </c>
      <c r="D148" s="137" t="s">
        <v>1428</v>
      </c>
      <c r="E148" s="137" t="s">
        <v>1445</v>
      </c>
      <c r="F148" s="137" t="s">
        <v>3833</v>
      </c>
      <c r="G148" s="137" t="s">
        <v>1437</v>
      </c>
    </row>
    <row r="149" spans="1:7" s="103" customFormat="1" ht="48.75" customHeight="1" x14ac:dyDescent="0.2">
      <c r="A149" s="135"/>
      <c r="B149" s="136"/>
      <c r="C149" s="137" t="s">
        <v>1446</v>
      </c>
      <c r="D149" s="137" t="s">
        <v>1428</v>
      </c>
      <c r="E149" s="137" t="s">
        <v>1447</v>
      </c>
      <c r="F149" s="137" t="s">
        <v>3834</v>
      </c>
      <c r="G149" s="137" t="s">
        <v>1437</v>
      </c>
    </row>
    <row r="150" spans="1:7" s="103" customFormat="1" ht="48" customHeight="1" x14ac:dyDescent="0.2">
      <c r="A150" s="135"/>
      <c r="B150" s="136"/>
      <c r="C150" s="137" t="s">
        <v>1448</v>
      </c>
      <c r="D150" s="137" t="s">
        <v>1428</v>
      </c>
      <c r="E150" s="137" t="s">
        <v>1449</v>
      </c>
      <c r="F150" s="137" t="s">
        <v>3835</v>
      </c>
      <c r="G150" s="137" t="s">
        <v>1437</v>
      </c>
    </row>
    <row r="151" spans="1:7" s="103" customFormat="1" ht="47.25" customHeight="1" x14ac:dyDescent="0.2">
      <c r="A151" s="135"/>
      <c r="B151" s="136"/>
      <c r="C151" s="137" t="s">
        <v>1450</v>
      </c>
      <c r="D151" s="137" t="s">
        <v>1428</v>
      </c>
      <c r="E151" s="137" t="s">
        <v>1451</v>
      </c>
      <c r="F151" s="137" t="s">
        <v>3836</v>
      </c>
      <c r="G151" s="137" t="s">
        <v>1437</v>
      </c>
    </row>
    <row r="152" spans="1:7" s="103" customFormat="1" ht="46.5" customHeight="1" x14ac:dyDescent="0.2">
      <c r="A152" s="135"/>
      <c r="B152" s="136"/>
      <c r="C152" s="137" t="s">
        <v>1452</v>
      </c>
      <c r="D152" s="137" t="s">
        <v>1428</v>
      </c>
      <c r="E152" s="137" t="s">
        <v>1453</v>
      </c>
      <c r="F152" s="137" t="s">
        <v>3837</v>
      </c>
      <c r="G152" s="137" t="s">
        <v>1437</v>
      </c>
    </row>
    <row r="153" spans="1:7" s="103" customFormat="1" ht="42.75" x14ac:dyDescent="0.2">
      <c r="A153" s="135"/>
      <c r="B153" s="136"/>
      <c r="C153" s="137" t="s">
        <v>1454</v>
      </c>
      <c r="D153" s="137" t="s">
        <v>1428</v>
      </c>
      <c r="E153" s="137" t="s">
        <v>1455</v>
      </c>
      <c r="F153" s="137" t="s">
        <v>3838</v>
      </c>
      <c r="G153" s="137" t="s">
        <v>1437</v>
      </c>
    </row>
    <row r="154" spans="1:7" s="103" customFormat="1" ht="42.75" x14ac:dyDescent="0.2">
      <c r="A154" s="135"/>
      <c r="B154" s="136"/>
      <c r="C154" s="137" t="s">
        <v>1456</v>
      </c>
      <c r="D154" s="137" t="s">
        <v>1428</v>
      </c>
      <c r="E154" s="137" t="s">
        <v>1457</v>
      </c>
      <c r="F154" s="137" t="s">
        <v>3839</v>
      </c>
      <c r="G154" s="137" t="s">
        <v>1437</v>
      </c>
    </row>
    <row r="155" spans="1:7" s="103" customFormat="1" ht="42.75" x14ac:dyDescent="0.2">
      <c r="A155" s="135"/>
      <c r="B155" s="136"/>
      <c r="C155" s="137" t="s">
        <v>1458</v>
      </c>
      <c r="D155" s="137" t="s">
        <v>1428</v>
      </c>
      <c r="E155" s="137" t="s">
        <v>1459</v>
      </c>
      <c r="F155" s="137" t="s">
        <v>3840</v>
      </c>
      <c r="G155" s="137" t="s">
        <v>1437</v>
      </c>
    </row>
    <row r="156" spans="1:7" s="103" customFormat="1" ht="42.75" x14ac:dyDescent="0.2">
      <c r="A156" s="135"/>
      <c r="B156" s="136"/>
      <c r="C156" s="137" t="s">
        <v>1460</v>
      </c>
      <c r="D156" s="137" t="s">
        <v>1428</v>
      </c>
      <c r="E156" s="137" t="s">
        <v>1461</v>
      </c>
      <c r="F156" s="137" t="s">
        <v>3841</v>
      </c>
      <c r="G156" s="137" t="s">
        <v>1437</v>
      </c>
    </row>
    <row r="157" spans="1:7" s="103" customFormat="1" ht="42.75" x14ac:dyDescent="0.2">
      <c r="A157" s="135"/>
      <c r="B157" s="136"/>
      <c r="C157" s="137" t="s">
        <v>1462</v>
      </c>
      <c r="D157" s="137" t="s">
        <v>1428</v>
      </c>
      <c r="E157" s="137" t="s">
        <v>1463</v>
      </c>
      <c r="F157" s="137" t="s">
        <v>3842</v>
      </c>
      <c r="G157" s="137" t="s">
        <v>1437</v>
      </c>
    </row>
    <row r="158" spans="1:7" s="103" customFormat="1" ht="42.75" x14ac:dyDescent="0.2">
      <c r="A158" s="135"/>
      <c r="B158" s="136"/>
      <c r="C158" s="137" t="s">
        <v>1464</v>
      </c>
      <c r="D158" s="137" t="s">
        <v>1428</v>
      </c>
      <c r="E158" s="137" t="s">
        <v>1465</v>
      </c>
      <c r="F158" s="137" t="s">
        <v>3843</v>
      </c>
      <c r="G158" s="137" t="s">
        <v>1437</v>
      </c>
    </row>
    <row r="159" spans="1:7" s="103" customFormat="1" ht="42.75" x14ac:dyDescent="0.2">
      <c r="A159" s="135"/>
      <c r="B159" s="136"/>
      <c r="C159" s="137" t="s">
        <v>1466</v>
      </c>
      <c r="D159" s="137" t="s">
        <v>1428</v>
      </c>
      <c r="E159" s="137" t="s">
        <v>1467</v>
      </c>
      <c r="F159" s="137" t="s">
        <v>3844</v>
      </c>
      <c r="G159" s="137" t="s">
        <v>1437</v>
      </c>
    </row>
    <row r="160" spans="1:7" s="103" customFormat="1" ht="42.75" x14ac:dyDescent="0.2">
      <c r="A160" s="135"/>
      <c r="B160" s="136"/>
      <c r="C160" s="137" t="s">
        <v>1468</v>
      </c>
      <c r="D160" s="137" t="s">
        <v>1428</v>
      </c>
      <c r="E160" s="137" t="s">
        <v>1469</v>
      </c>
      <c r="F160" s="137" t="s">
        <v>3845</v>
      </c>
      <c r="G160" s="137" t="s">
        <v>1437</v>
      </c>
    </row>
    <row r="161" spans="1:7" s="103" customFormat="1" ht="42.75" x14ac:dyDescent="0.2">
      <c r="A161" s="135"/>
      <c r="B161" s="136"/>
      <c r="C161" s="137" t="s">
        <v>1470</v>
      </c>
      <c r="D161" s="137" t="s">
        <v>1428</v>
      </c>
      <c r="E161" s="137" t="s">
        <v>1471</v>
      </c>
      <c r="F161" s="137" t="s">
        <v>3846</v>
      </c>
      <c r="G161" s="137" t="s">
        <v>1437</v>
      </c>
    </row>
    <row r="162" spans="1:7" s="103" customFormat="1" ht="42.75" x14ac:dyDescent="0.2">
      <c r="A162" s="135"/>
      <c r="B162" s="136"/>
      <c r="C162" s="137" t="s">
        <v>1472</v>
      </c>
      <c r="D162" s="137" t="s">
        <v>1428</v>
      </c>
      <c r="E162" s="137" t="s">
        <v>1473</v>
      </c>
      <c r="F162" s="137" t="s">
        <v>3847</v>
      </c>
      <c r="G162" s="137" t="s">
        <v>1437</v>
      </c>
    </row>
    <row r="163" spans="1:7" s="103" customFormat="1" ht="57" x14ac:dyDescent="0.2">
      <c r="A163" s="135"/>
      <c r="B163" s="136"/>
      <c r="C163" s="137" t="s">
        <v>1474</v>
      </c>
      <c r="D163" s="137" t="s">
        <v>1428</v>
      </c>
      <c r="E163" s="137" t="s">
        <v>1475</v>
      </c>
      <c r="F163" s="137" t="s">
        <v>3848</v>
      </c>
      <c r="G163" s="137" t="s">
        <v>1437</v>
      </c>
    </row>
    <row r="164" spans="1:7" s="103" customFormat="1" ht="57" x14ac:dyDescent="0.2">
      <c r="A164" s="135"/>
      <c r="B164" s="136"/>
      <c r="C164" s="137" t="s">
        <v>1476</v>
      </c>
      <c r="D164" s="137" t="s">
        <v>1428</v>
      </c>
      <c r="E164" s="137" t="s">
        <v>1477</v>
      </c>
      <c r="F164" s="137" t="s">
        <v>3849</v>
      </c>
      <c r="G164" s="137" t="s">
        <v>1437</v>
      </c>
    </row>
    <row r="165" spans="1:7" s="103" customFormat="1" ht="43.5" customHeight="1" x14ac:dyDescent="0.2">
      <c r="A165" s="135"/>
      <c r="B165" s="136"/>
      <c r="C165" s="137" t="s">
        <v>1478</v>
      </c>
      <c r="D165" s="137" t="s">
        <v>1428</v>
      </c>
      <c r="E165" s="137" t="s">
        <v>1479</v>
      </c>
      <c r="F165" s="137" t="s">
        <v>3850</v>
      </c>
      <c r="G165" s="137" t="s">
        <v>1437</v>
      </c>
    </row>
    <row r="166" spans="1:7" s="103" customFormat="1" ht="63.75" customHeight="1" x14ac:dyDescent="0.2">
      <c r="A166" s="135"/>
      <c r="B166" s="136"/>
      <c r="C166" s="137" t="s">
        <v>1480</v>
      </c>
      <c r="D166" s="137" t="s">
        <v>1428</v>
      </c>
      <c r="E166" s="137" t="s">
        <v>1481</v>
      </c>
      <c r="F166" s="137" t="s">
        <v>3851</v>
      </c>
      <c r="G166" s="137" t="s">
        <v>1437</v>
      </c>
    </row>
    <row r="167" spans="1:7" s="103" customFormat="1" ht="57" x14ac:dyDescent="0.2">
      <c r="A167" s="135"/>
      <c r="B167" s="136"/>
      <c r="C167" s="137" t="s">
        <v>1482</v>
      </c>
      <c r="D167" s="137" t="s">
        <v>1428</v>
      </c>
      <c r="E167" s="137" t="s">
        <v>1483</v>
      </c>
      <c r="F167" s="137" t="s">
        <v>3852</v>
      </c>
      <c r="G167" s="137" t="s">
        <v>1437</v>
      </c>
    </row>
    <row r="168" spans="1:7" s="103" customFormat="1" ht="62.25" customHeight="1" x14ac:dyDescent="0.2">
      <c r="A168" s="135"/>
      <c r="B168" s="136"/>
      <c r="C168" s="137" t="s">
        <v>1484</v>
      </c>
      <c r="D168" s="137" t="s">
        <v>1428</v>
      </c>
      <c r="E168" s="137" t="s">
        <v>1485</v>
      </c>
      <c r="F168" s="129" t="s">
        <v>4333</v>
      </c>
      <c r="G168" s="137" t="s">
        <v>1437</v>
      </c>
    </row>
    <row r="169" spans="1:7" s="103" customFormat="1" ht="73.5" customHeight="1" x14ac:dyDescent="0.2">
      <c r="A169" s="135"/>
      <c r="B169" s="136"/>
      <c r="C169" s="137" t="s">
        <v>1486</v>
      </c>
      <c r="D169" s="137" t="s">
        <v>1252</v>
      </c>
      <c r="E169" s="137" t="s">
        <v>1487</v>
      </c>
      <c r="F169" s="129" t="s">
        <v>4334</v>
      </c>
      <c r="G169" s="137" t="s">
        <v>1488</v>
      </c>
    </row>
    <row r="170" spans="1:7" s="103" customFormat="1" ht="57" x14ac:dyDescent="0.2">
      <c r="A170" s="135"/>
      <c r="B170" s="136"/>
      <c r="C170" s="137" t="s">
        <v>1489</v>
      </c>
      <c r="D170" s="137" t="s">
        <v>1428</v>
      </c>
      <c r="E170" s="137" t="s">
        <v>1490</v>
      </c>
      <c r="F170" s="129" t="s">
        <v>4335</v>
      </c>
      <c r="G170" s="137" t="s">
        <v>1488</v>
      </c>
    </row>
    <row r="171" spans="1:7" s="103" customFormat="1" ht="63" customHeight="1" x14ac:dyDescent="0.2">
      <c r="A171" s="135"/>
      <c r="B171" s="136"/>
      <c r="C171" s="137" t="s">
        <v>1491</v>
      </c>
      <c r="D171" s="137" t="s">
        <v>1493</v>
      </c>
      <c r="E171" s="137" t="s">
        <v>1492</v>
      </c>
      <c r="F171" s="129" t="s">
        <v>4336</v>
      </c>
      <c r="G171" s="137"/>
    </row>
    <row r="172" spans="1:7" s="103" customFormat="1" ht="59.25" customHeight="1" x14ac:dyDescent="0.2">
      <c r="A172" s="135"/>
      <c r="B172" s="136"/>
      <c r="C172" s="137" t="s">
        <v>1494</v>
      </c>
      <c r="D172" s="137" t="s">
        <v>1428</v>
      </c>
      <c r="E172" s="137" t="s">
        <v>1495</v>
      </c>
      <c r="F172" s="129" t="s">
        <v>4337</v>
      </c>
      <c r="G172" s="137"/>
    </row>
    <row r="173" spans="1:7" s="103" customFormat="1" ht="59.25" customHeight="1" x14ac:dyDescent="0.2">
      <c r="A173" s="135"/>
      <c r="B173" s="136"/>
      <c r="C173" s="137" t="s">
        <v>1496</v>
      </c>
      <c r="D173" s="137" t="s">
        <v>1428</v>
      </c>
      <c r="E173" s="137" t="s">
        <v>1497</v>
      </c>
      <c r="F173" s="137" t="s">
        <v>3853</v>
      </c>
      <c r="G173" s="137"/>
    </row>
    <row r="174" spans="1:7" s="103" customFormat="1" ht="62.25" customHeight="1" x14ac:dyDescent="0.2">
      <c r="A174" s="135"/>
      <c r="B174" s="136"/>
      <c r="C174" s="137" t="s">
        <v>1498</v>
      </c>
      <c r="D174" s="137" t="s">
        <v>1500</v>
      </c>
      <c r="E174" s="137" t="s">
        <v>1499</v>
      </c>
      <c r="F174" s="129" t="s">
        <v>4338</v>
      </c>
      <c r="G174" s="137"/>
    </row>
    <row r="175" spans="1:7" s="103" customFormat="1" ht="28.5" x14ac:dyDescent="0.2">
      <c r="A175" s="135"/>
      <c r="B175" s="136"/>
      <c r="C175" s="137" t="s">
        <v>1501</v>
      </c>
      <c r="D175" s="137" t="s">
        <v>1240</v>
      </c>
      <c r="E175" s="137" t="s">
        <v>1502</v>
      </c>
      <c r="F175" s="137" t="s">
        <v>3854</v>
      </c>
      <c r="G175" s="137" t="s">
        <v>1503</v>
      </c>
    </row>
    <row r="176" spans="1:7" s="103" customFormat="1" ht="28.5" x14ac:dyDescent="0.2">
      <c r="A176" s="135"/>
      <c r="B176" s="136"/>
      <c r="C176" s="137" t="s">
        <v>1504</v>
      </c>
      <c r="D176" s="137" t="s">
        <v>1218</v>
      </c>
      <c r="E176" s="137" t="s">
        <v>1505</v>
      </c>
      <c r="F176" s="137" t="s">
        <v>3855</v>
      </c>
      <c r="G176" s="137" t="s">
        <v>1503</v>
      </c>
    </row>
    <row r="177" spans="1:7" s="103" customFormat="1" ht="63.75" customHeight="1" x14ac:dyDescent="0.2">
      <c r="A177" s="135"/>
      <c r="B177" s="136"/>
      <c r="C177" s="137" t="s">
        <v>1506</v>
      </c>
      <c r="D177" s="137" t="s">
        <v>1428</v>
      </c>
      <c r="E177" s="137" t="s">
        <v>1507</v>
      </c>
      <c r="F177" s="137" t="s">
        <v>3856</v>
      </c>
      <c r="G177" s="137" t="s">
        <v>1508</v>
      </c>
    </row>
    <row r="178" spans="1:7" s="103" customFormat="1" ht="61.5" customHeight="1" x14ac:dyDescent="0.2">
      <c r="A178" s="135"/>
      <c r="B178" s="136"/>
      <c r="C178" s="137" t="s">
        <v>1509</v>
      </c>
      <c r="D178" s="137" t="s">
        <v>1218</v>
      </c>
      <c r="E178" s="137" t="s">
        <v>1510</v>
      </c>
      <c r="F178" s="137" t="s">
        <v>3857</v>
      </c>
      <c r="G178" s="137"/>
    </row>
    <row r="179" spans="1:7" s="103" customFormat="1" ht="48" customHeight="1" x14ac:dyDescent="0.2">
      <c r="A179" s="135"/>
      <c r="B179" s="136"/>
      <c r="C179" s="137" t="s">
        <v>1511</v>
      </c>
      <c r="D179" s="137" t="s">
        <v>1218</v>
      </c>
      <c r="E179" s="137" t="s">
        <v>1512</v>
      </c>
      <c r="F179" s="137" t="s">
        <v>3858</v>
      </c>
      <c r="G179" s="137"/>
    </row>
    <row r="180" spans="1:7" s="103" customFormat="1" ht="57" x14ac:dyDescent="0.2">
      <c r="A180" s="135"/>
      <c r="B180" s="136"/>
      <c r="C180" s="137" t="s">
        <v>1513</v>
      </c>
      <c r="D180" s="137" t="s">
        <v>1218</v>
      </c>
      <c r="E180" s="137" t="s">
        <v>1514</v>
      </c>
      <c r="F180" s="137" t="s">
        <v>3859</v>
      </c>
      <c r="G180" s="137"/>
    </row>
    <row r="181" spans="1:7" s="103" customFormat="1" ht="57" x14ac:dyDescent="0.2">
      <c r="A181" s="135"/>
      <c r="B181" s="136"/>
      <c r="C181" s="137" t="s">
        <v>1515</v>
      </c>
      <c r="D181" s="137" t="s">
        <v>1428</v>
      </c>
      <c r="E181" s="137" t="s">
        <v>1516</v>
      </c>
      <c r="F181" s="137" t="s">
        <v>3860</v>
      </c>
      <c r="G181" s="137" t="s">
        <v>3861</v>
      </c>
    </row>
    <row r="182" spans="1:7" s="103" customFormat="1" ht="47.25" customHeight="1" x14ac:dyDescent="0.2">
      <c r="A182" s="135"/>
      <c r="B182" s="136"/>
      <c r="C182" s="137" t="s">
        <v>1517</v>
      </c>
      <c r="D182" s="137" t="s">
        <v>1428</v>
      </c>
      <c r="E182" s="137" t="s">
        <v>1518</v>
      </c>
      <c r="F182" s="137" t="s">
        <v>3862</v>
      </c>
      <c r="G182" s="137" t="s">
        <v>3863</v>
      </c>
    </row>
    <row r="183" spans="1:7" s="103" customFormat="1" ht="57" x14ac:dyDescent="0.2">
      <c r="A183" s="135"/>
      <c r="B183" s="136"/>
      <c r="C183" s="137" t="s">
        <v>1519</v>
      </c>
      <c r="D183" s="137" t="s">
        <v>1428</v>
      </c>
      <c r="E183" s="137" t="s">
        <v>1520</v>
      </c>
      <c r="F183" s="137" t="s">
        <v>3864</v>
      </c>
      <c r="G183" s="137" t="s">
        <v>3865</v>
      </c>
    </row>
    <row r="184" spans="1:7" s="103" customFormat="1" ht="48.75" customHeight="1" x14ac:dyDescent="0.2">
      <c r="A184" s="135"/>
      <c r="B184" s="136"/>
      <c r="C184" s="137" t="s">
        <v>1521</v>
      </c>
      <c r="D184" s="137" t="s">
        <v>1428</v>
      </c>
      <c r="E184" s="137" t="s">
        <v>1522</v>
      </c>
      <c r="F184" s="137" t="s">
        <v>3866</v>
      </c>
      <c r="G184" s="137"/>
    </row>
    <row r="185" spans="1:7" s="103" customFormat="1" ht="49.5" customHeight="1" x14ac:dyDescent="0.2">
      <c r="A185" s="135"/>
      <c r="B185" s="136"/>
      <c r="C185" s="137" t="s">
        <v>1523</v>
      </c>
      <c r="D185" s="137" t="s">
        <v>1500</v>
      </c>
      <c r="E185" s="137" t="s">
        <v>1524</v>
      </c>
      <c r="F185" s="137" t="s">
        <v>3867</v>
      </c>
      <c r="G185" s="137"/>
    </row>
    <row r="186" spans="1:7" s="103" customFormat="1" ht="48.75" customHeight="1" x14ac:dyDescent="0.2">
      <c r="A186" s="135"/>
      <c r="B186" s="136"/>
      <c r="C186" s="137" t="s">
        <v>1525</v>
      </c>
      <c r="D186" s="137" t="s">
        <v>1428</v>
      </c>
      <c r="E186" s="137" t="s">
        <v>1526</v>
      </c>
      <c r="F186" s="137" t="s">
        <v>3868</v>
      </c>
      <c r="G186" s="137" t="s">
        <v>3869</v>
      </c>
    </row>
    <row r="187" spans="1:7" s="103" customFormat="1" ht="42.75" x14ac:dyDescent="0.2">
      <c r="A187" s="135"/>
      <c r="B187" s="136"/>
      <c r="C187" s="137" t="s">
        <v>1527</v>
      </c>
      <c r="D187" s="137" t="s">
        <v>1428</v>
      </c>
      <c r="E187" s="137" t="s">
        <v>1528</v>
      </c>
      <c r="F187" s="137" t="s">
        <v>3870</v>
      </c>
      <c r="G187" s="137" t="s">
        <v>1529</v>
      </c>
    </row>
    <row r="188" spans="1:7" ht="15" x14ac:dyDescent="0.2">
      <c r="A188" s="222" t="s">
        <v>4302</v>
      </c>
      <c r="B188" s="222"/>
      <c r="C188" s="222"/>
      <c r="D188" s="222"/>
      <c r="E188" s="222"/>
      <c r="F188" s="222"/>
      <c r="G188" s="222"/>
    </row>
    <row r="189" spans="1:7" ht="57" x14ac:dyDescent="0.2">
      <c r="A189" s="123"/>
      <c r="B189" s="124" t="s">
        <v>3012</v>
      </c>
      <c r="C189" s="126" t="s">
        <v>1530</v>
      </c>
      <c r="D189" s="130" t="s">
        <v>1152</v>
      </c>
      <c r="E189" s="126" t="s">
        <v>1151</v>
      </c>
      <c r="F189" s="134" t="s">
        <v>3872</v>
      </c>
      <c r="G189" s="134" t="s">
        <v>3871</v>
      </c>
    </row>
    <row r="190" spans="1:7" ht="28.5" x14ac:dyDescent="0.2">
      <c r="A190" s="123"/>
      <c r="B190" s="124" t="s">
        <v>3012</v>
      </c>
      <c r="C190" s="126" t="s">
        <v>1531</v>
      </c>
      <c r="D190" s="130" t="s">
        <v>1155</v>
      </c>
      <c r="E190" s="126" t="s">
        <v>1154</v>
      </c>
      <c r="F190" s="134" t="s">
        <v>3873</v>
      </c>
      <c r="G190" s="134" t="s">
        <v>3871</v>
      </c>
    </row>
    <row r="191" spans="1:7" ht="28.5" x14ac:dyDescent="0.2">
      <c r="A191" s="123"/>
      <c r="B191" s="124" t="s">
        <v>3012</v>
      </c>
      <c r="C191" s="126" t="s">
        <v>1532</v>
      </c>
      <c r="D191" s="126" t="s">
        <v>1533</v>
      </c>
      <c r="E191" s="126" t="s">
        <v>1158</v>
      </c>
      <c r="F191" s="134" t="s">
        <v>3874</v>
      </c>
      <c r="G191" s="126"/>
    </row>
    <row r="192" spans="1:7" ht="28.5" x14ac:dyDescent="0.2">
      <c r="A192" s="123"/>
      <c r="B192" s="124"/>
      <c r="C192" s="126" t="s">
        <v>1534</v>
      </c>
      <c r="D192" s="126" t="s">
        <v>1535</v>
      </c>
      <c r="E192" s="126" t="s">
        <v>1161</v>
      </c>
      <c r="F192" s="134" t="s">
        <v>3874</v>
      </c>
      <c r="G192" s="126" t="s">
        <v>1163</v>
      </c>
    </row>
    <row r="193" spans="1:7" ht="85.5" x14ac:dyDescent="0.2">
      <c r="A193" s="123"/>
      <c r="B193" s="124"/>
      <c r="C193" s="126" t="s">
        <v>1536</v>
      </c>
      <c r="D193" s="126" t="s">
        <v>1166</v>
      </c>
      <c r="E193" s="126" t="s">
        <v>1165</v>
      </c>
      <c r="F193" s="126" t="s">
        <v>1167</v>
      </c>
      <c r="G193" s="126"/>
    </row>
    <row r="194" spans="1:7" ht="66" customHeight="1" x14ac:dyDescent="0.2">
      <c r="A194" s="123"/>
      <c r="B194" s="124"/>
      <c r="C194" s="126" t="s">
        <v>1537</v>
      </c>
      <c r="D194" s="126" t="s">
        <v>1538</v>
      </c>
      <c r="E194" s="126" t="s">
        <v>1173</v>
      </c>
      <c r="F194" s="134" t="s">
        <v>3874</v>
      </c>
      <c r="G194" s="126" t="s">
        <v>1174</v>
      </c>
    </row>
    <row r="195" spans="1:7" ht="42.75" x14ac:dyDescent="0.2">
      <c r="A195" s="123"/>
      <c r="B195" s="124" t="s">
        <v>3012</v>
      </c>
      <c r="C195" s="126" t="s">
        <v>1539</v>
      </c>
      <c r="D195" s="126" t="s">
        <v>1182</v>
      </c>
      <c r="E195" s="126" t="s">
        <v>27</v>
      </c>
      <c r="F195" s="129" t="s">
        <v>4339</v>
      </c>
      <c r="G195" s="126"/>
    </row>
    <row r="196" spans="1:7" ht="72.75" customHeight="1" x14ac:dyDescent="0.2">
      <c r="A196" s="123"/>
      <c r="B196" s="124" t="s">
        <v>3012</v>
      </c>
      <c r="C196" s="126" t="s">
        <v>1540</v>
      </c>
      <c r="D196" s="126" t="s">
        <v>1184</v>
      </c>
      <c r="E196" s="126" t="s">
        <v>392</v>
      </c>
      <c r="F196" s="134" t="s">
        <v>3875</v>
      </c>
      <c r="G196" s="126"/>
    </row>
    <row r="197" spans="1:7" ht="63.75" customHeight="1" x14ac:dyDescent="0.2">
      <c r="A197" s="123"/>
      <c r="B197" s="124"/>
      <c r="C197" s="126" t="s">
        <v>1541</v>
      </c>
      <c r="D197" s="126" t="s">
        <v>1542</v>
      </c>
      <c r="E197" s="126" t="s">
        <v>1213</v>
      </c>
      <c r="F197" s="134" t="s">
        <v>3876</v>
      </c>
      <c r="G197" s="126" t="s">
        <v>1543</v>
      </c>
    </row>
    <row r="198" spans="1:7" ht="61.5" customHeight="1" x14ac:dyDescent="0.2">
      <c r="A198" s="123"/>
      <c r="B198" s="124" t="s">
        <v>3012</v>
      </c>
      <c r="C198" s="126" t="s">
        <v>1544</v>
      </c>
      <c r="D198" s="126" t="s">
        <v>1189</v>
      </c>
      <c r="E198" s="126" t="s">
        <v>1188</v>
      </c>
      <c r="F198" s="134" t="s">
        <v>3877</v>
      </c>
      <c r="G198" s="126"/>
    </row>
    <row r="199" spans="1:7" ht="135" customHeight="1" x14ac:dyDescent="0.2">
      <c r="A199" s="123"/>
      <c r="B199" s="124" t="s">
        <v>3012</v>
      </c>
      <c r="C199" s="126" t="s">
        <v>1545</v>
      </c>
      <c r="D199" s="126" t="s">
        <v>1195</v>
      </c>
      <c r="E199" s="126" t="s">
        <v>1194</v>
      </c>
      <c r="F199" s="127" t="s">
        <v>1546</v>
      </c>
      <c r="G199" s="126"/>
    </row>
    <row r="200" spans="1:7" ht="168.75" customHeight="1" x14ac:dyDescent="0.2">
      <c r="A200" s="123" t="s">
        <v>3012</v>
      </c>
      <c r="B200" s="124" t="s">
        <v>3012</v>
      </c>
      <c r="C200" s="126" t="s">
        <v>1547</v>
      </c>
      <c r="D200" s="126" t="s">
        <v>1306</v>
      </c>
      <c r="E200" s="126" t="s">
        <v>1305</v>
      </c>
      <c r="F200" s="127" t="s">
        <v>3878</v>
      </c>
      <c r="G200" s="126"/>
    </row>
    <row r="201" spans="1:7" ht="147.75" customHeight="1" x14ac:dyDescent="0.2">
      <c r="A201" s="123" t="s">
        <v>3012</v>
      </c>
      <c r="B201" s="124" t="s">
        <v>3012</v>
      </c>
      <c r="C201" s="126" t="s">
        <v>1548</v>
      </c>
      <c r="D201" s="126" t="s">
        <v>1309</v>
      </c>
      <c r="E201" s="126" t="s">
        <v>1308</v>
      </c>
      <c r="F201" s="127" t="s">
        <v>3879</v>
      </c>
      <c r="G201" s="126" t="s">
        <v>1549</v>
      </c>
    </row>
    <row r="202" spans="1:7" ht="57" x14ac:dyDescent="0.2">
      <c r="A202" s="123"/>
      <c r="B202" s="124"/>
      <c r="C202" s="126" t="s">
        <v>1550</v>
      </c>
      <c r="D202" s="126" t="s">
        <v>1290</v>
      </c>
      <c r="E202" s="126" t="s">
        <v>1551</v>
      </c>
      <c r="F202" s="127" t="s">
        <v>3880</v>
      </c>
      <c r="G202" s="126" t="s">
        <v>1552</v>
      </c>
    </row>
    <row r="203" spans="1:7" ht="57" x14ac:dyDescent="0.2">
      <c r="A203" s="123"/>
      <c r="B203" s="124"/>
      <c r="C203" s="126" t="s">
        <v>1553</v>
      </c>
      <c r="D203" s="126" t="s">
        <v>1554</v>
      </c>
      <c r="E203" s="126" t="s">
        <v>1302</v>
      </c>
      <c r="F203" s="127" t="s">
        <v>3881</v>
      </c>
      <c r="G203" s="126" t="s">
        <v>1555</v>
      </c>
    </row>
    <row r="204" spans="1:7" ht="28.5" x14ac:dyDescent="0.2">
      <c r="A204" s="123"/>
      <c r="B204" s="124"/>
      <c r="C204" s="126" t="s">
        <v>1556</v>
      </c>
      <c r="D204" s="126" t="s">
        <v>1333</v>
      </c>
      <c r="E204" s="126" t="s">
        <v>689</v>
      </c>
      <c r="F204" s="127" t="s">
        <v>3882</v>
      </c>
      <c r="G204" s="126"/>
    </row>
    <row r="205" spans="1:7" ht="131.25" customHeight="1" x14ac:dyDescent="0.2">
      <c r="A205" s="123"/>
      <c r="B205" s="124"/>
      <c r="C205" s="126" t="s">
        <v>1557</v>
      </c>
      <c r="D205" s="126" t="s">
        <v>1558</v>
      </c>
      <c r="E205" s="126" t="s">
        <v>1338</v>
      </c>
      <c r="F205" s="127" t="s">
        <v>3883</v>
      </c>
      <c r="G205" s="126" t="s">
        <v>1559</v>
      </c>
    </row>
    <row r="206" spans="1:7" ht="142.5" x14ac:dyDescent="0.2">
      <c r="A206" s="123"/>
      <c r="B206" s="124"/>
      <c r="C206" s="126" t="s">
        <v>1560</v>
      </c>
      <c r="D206" s="126" t="s">
        <v>1336</v>
      </c>
      <c r="E206" s="126" t="s">
        <v>1335</v>
      </c>
      <c r="F206" s="127" t="s">
        <v>3884</v>
      </c>
      <c r="G206" s="127" t="s">
        <v>3885</v>
      </c>
    </row>
    <row r="207" spans="1:7" ht="156.75" x14ac:dyDescent="0.2">
      <c r="A207" s="123"/>
      <c r="B207" s="124"/>
      <c r="C207" s="126" t="s">
        <v>1561</v>
      </c>
      <c r="D207" s="126" t="s">
        <v>1346</v>
      </c>
      <c r="E207" s="126" t="s">
        <v>1345</v>
      </c>
      <c r="F207" s="127" t="s">
        <v>3886</v>
      </c>
      <c r="G207" s="126" t="s">
        <v>1562</v>
      </c>
    </row>
    <row r="208" spans="1:7" ht="71.25" x14ac:dyDescent="0.2">
      <c r="A208" s="123"/>
      <c r="B208" s="124"/>
      <c r="C208" s="126" t="s">
        <v>1563</v>
      </c>
      <c r="D208" s="126" t="s">
        <v>1352</v>
      </c>
      <c r="E208" s="126" t="s">
        <v>1351</v>
      </c>
      <c r="F208" s="127" t="s">
        <v>3887</v>
      </c>
      <c r="G208" s="126"/>
    </row>
    <row r="209" spans="1:7" ht="57" x14ac:dyDescent="0.2">
      <c r="A209" s="123"/>
      <c r="B209" s="124"/>
      <c r="C209" s="126" t="s">
        <v>1564</v>
      </c>
      <c r="D209" s="130" t="s">
        <v>1565</v>
      </c>
      <c r="E209" s="126" t="s">
        <v>1293</v>
      </c>
      <c r="F209" s="127" t="s">
        <v>3888</v>
      </c>
      <c r="G209" s="126" t="s">
        <v>1295</v>
      </c>
    </row>
    <row r="210" spans="1:7" ht="15" x14ac:dyDescent="0.2">
      <c r="A210" s="222" t="s">
        <v>4303</v>
      </c>
      <c r="B210" s="222"/>
      <c r="C210" s="222"/>
      <c r="D210" s="222"/>
      <c r="E210" s="222"/>
      <c r="F210" s="222"/>
      <c r="G210" s="222"/>
    </row>
    <row r="211" spans="1:7" ht="85.5" x14ac:dyDescent="0.2">
      <c r="A211" s="123"/>
      <c r="B211" s="124" t="s">
        <v>3012</v>
      </c>
      <c r="C211" s="126" t="s">
        <v>1566</v>
      </c>
      <c r="D211" s="130" t="s">
        <v>1152</v>
      </c>
      <c r="E211" s="126" t="s">
        <v>1151</v>
      </c>
      <c r="F211" s="127" t="s">
        <v>3889</v>
      </c>
      <c r="G211" s="127" t="s">
        <v>3871</v>
      </c>
    </row>
    <row r="212" spans="1:7" ht="61.5" customHeight="1" x14ac:dyDescent="0.2">
      <c r="A212" s="123"/>
      <c r="B212" s="124" t="s">
        <v>3012</v>
      </c>
      <c r="C212" s="126" t="s">
        <v>1567</v>
      </c>
      <c r="D212" s="130" t="s">
        <v>1155</v>
      </c>
      <c r="E212" s="126" t="s">
        <v>1154</v>
      </c>
      <c r="F212" s="127" t="s">
        <v>3890</v>
      </c>
      <c r="G212" s="127" t="s">
        <v>3871</v>
      </c>
    </row>
    <row r="213" spans="1:7" ht="57" x14ac:dyDescent="0.2">
      <c r="A213" s="123"/>
      <c r="B213" s="124" t="s">
        <v>3012</v>
      </c>
      <c r="C213" s="126" t="s">
        <v>1568</v>
      </c>
      <c r="D213" s="126" t="s">
        <v>1159</v>
      </c>
      <c r="E213" s="126" t="s">
        <v>1158</v>
      </c>
      <c r="F213" s="127" t="s">
        <v>3891</v>
      </c>
      <c r="G213" s="127" t="s">
        <v>3871</v>
      </c>
    </row>
    <row r="214" spans="1:7" ht="57" x14ac:dyDescent="0.2">
      <c r="A214" s="123"/>
      <c r="B214" s="124"/>
      <c r="C214" s="126" t="s">
        <v>1569</v>
      </c>
      <c r="D214" s="126" t="s">
        <v>1162</v>
      </c>
      <c r="E214" s="126" t="s">
        <v>1161</v>
      </c>
      <c r="F214" s="127" t="s">
        <v>3891</v>
      </c>
      <c r="G214" s="126" t="s">
        <v>1163</v>
      </c>
    </row>
    <row r="215" spans="1:7" ht="128.25" x14ac:dyDescent="0.2">
      <c r="A215" s="123"/>
      <c r="B215" s="124"/>
      <c r="C215" s="126" t="s">
        <v>1570</v>
      </c>
      <c r="D215" s="126" t="s">
        <v>1166</v>
      </c>
      <c r="E215" s="126" t="s">
        <v>1165</v>
      </c>
      <c r="F215" s="127" t="s">
        <v>3892</v>
      </c>
      <c r="G215" s="126"/>
    </row>
    <row r="216" spans="1:7" ht="60.75" customHeight="1" x14ac:dyDescent="0.2">
      <c r="A216" s="123"/>
      <c r="B216" s="124"/>
      <c r="C216" s="126" t="s">
        <v>1571</v>
      </c>
      <c r="D216" s="132" t="s">
        <v>1162</v>
      </c>
      <c r="E216" s="126" t="s">
        <v>1173</v>
      </c>
      <c r="F216" s="127" t="s">
        <v>3891</v>
      </c>
      <c r="G216" s="127" t="s">
        <v>1174</v>
      </c>
    </row>
    <row r="217" spans="1:7" ht="77.25" customHeight="1" x14ac:dyDescent="0.2">
      <c r="A217" s="123"/>
      <c r="B217" s="124"/>
      <c r="C217" s="126" t="s">
        <v>1572</v>
      </c>
      <c r="D217" s="126" t="s">
        <v>1182</v>
      </c>
      <c r="E217" s="126" t="s">
        <v>27</v>
      </c>
      <c r="F217" s="127" t="s">
        <v>3893</v>
      </c>
      <c r="G217" s="126"/>
    </row>
    <row r="218" spans="1:7" ht="92.25" customHeight="1" x14ac:dyDescent="0.2">
      <c r="A218" s="123"/>
      <c r="B218" s="124" t="s">
        <v>3012</v>
      </c>
      <c r="C218" s="126" t="s">
        <v>1573</v>
      </c>
      <c r="D218" s="126" t="s">
        <v>1184</v>
      </c>
      <c r="E218" s="126" t="s">
        <v>392</v>
      </c>
      <c r="F218" s="127" t="s">
        <v>3894</v>
      </c>
      <c r="G218" s="126"/>
    </row>
    <row r="219" spans="1:7" ht="85.5" x14ac:dyDescent="0.2">
      <c r="A219" s="123"/>
      <c r="B219" s="124" t="s">
        <v>3012</v>
      </c>
      <c r="C219" s="126" t="s">
        <v>1574</v>
      </c>
      <c r="D219" s="126" t="s">
        <v>1575</v>
      </c>
      <c r="E219" s="126" t="s">
        <v>1213</v>
      </c>
      <c r="F219" s="127" t="s">
        <v>3895</v>
      </c>
      <c r="G219" s="126" t="s">
        <v>1576</v>
      </c>
    </row>
    <row r="220" spans="1:7" ht="91.5" customHeight="1" x14ac:dyDescent="0.2">
      <c r="A220" s="123"/>
      <c r="B220" s="124" t="s">
        <v>3012</v>
      </c>
      <c r="C220" s="126" t="s">
        <v>1577</v>
      </c>
      <c r="D220" s="126" t="s">
        <v>1189</v>
      </c>
      <c r="E220" s="126" t="s">
        <v>1188</v>
      </c>
      <c r="F220" s="127" t="s">
        <v>3896</v>
      </c>
      <c r="G220" s="126"/>
    </row>
    <row r="221" spans="1:7" ht="164.25" customHeight="1" x14ac:dyDescent="0.2">
      <c r="A221" s="123"/>
      <c r="B221" s="124" t="s">
        <v>3012</v>
      </c>
      <c r="C221" s="126" t="s">
        <v>1578</v>
      </c>
      <c r="D221" s="126" t="s">
        <v>1195</v>
      </c>
      <c r="E221" s="126" t="s">
        <v>1194</v>
      </c>
      <c r="F221" s="127" t="s">
        <v>3897</v>
      </c>
      <c r="G221" s="126"/>
    </row>
    <row r="222" spans="1:7" ht="191.25" customHeight="1" x14ac:dyDescent="0.2">
      <c r="A222" s="123" t="s">
        <v>3012</v>
      </c>
      <c r="B222" s="124" t="s">
        <v>3012</v>
      </c>
      <c r="C222" s="126" t="s">
        <v>1579</v>
      </c>
      <c r="D222" s="126" t="s">
        <v>1306</v>
      </c>
      <c r="E222" s="126" t="s">
        <v>1305</v>
      </c>
      <c r="F222" s="127" t="s">
        <v>3898</v>
      </c>
      <c r="G222" s="126"/>
    </row>
    <row r="223" spans="1:7" ht="190.5" customHeight="1" x14ac:dyDescent="0.2">
      <c r="A223" s="123" t="s">
        <v>3012</v>
      </c>
      <c r="B223" s="124" t="s">
        <v>3012</v>
      </c>
      <c r="C223" s="126" t="s">
        <v>1580</v>
      </c>
      <c r="D223" s="126" t="s">
        <v>1309</v>
      </c>
      <c r="E223" s="126" t="s">
        <v>1308</v>
      </c>
      <c r="F223" s="127" t="s">
        <v>3899</v>
      </c>
      <c r="G223" s="126" t="s">
        <v>1310</v>
      </c>
    </row>
    <row r="224" spans="1:7" ht="42.75" x14ac:dyDescent="0.2">
      <c r="A224" s="123"/>
      <c r="B224" s="124"/>
      <c r="C224" s="126" t="s">
        <v>1581</v>
      </c>
      <c r="D224" s="126" t="s">
        <v>1290</v>
      </c>
      <c r="E224" s="126" t="s">
        <v>1551</v>
      </c>
      <c r="F224" s="127" t="s">
        <v>3900</v>
      </c>
      <c r="G224" s="126" t="s">
        <v>1291</v>
      </c>
    </row>
    <row r="225" spans="1:7" ht="57" x14ac:dyDescent="0.2">
      <c r="A225" s="123"/>
      <c r="B225" s="124"/>
      <c r="C225" s="126" t="s">
        <v>1582</v>
      </c>
      <c r="D225" s="126" t="s">
        <v>1554</v>
      </c>
      <c r="E225" s="126" t="s">
        <v>1302</v>
      </c>
      <c r="F225" s="127" t="s">
        <v>3901</v>
      </c>
      <c r="G225" s="126" t="s">
        <v>1555</v>
      </c>
    </row>
    <row r="226" spans="1:7" ht="59.25" customHeight="1" x14ac:dyDescent="0.2">
      <c r="A226" s="123"/>
      <c r="B226" s="124"/>
      <c r="C226" s="126" t="s">
        <v>1583</v>
      </c>
      <c r="D226" s="126" t="s">
        <v>1333</v>
      </c>
      <c r="E226" s="126" t="s">
        <v>689</v>
      </c>
      <c r="F226" s="127" t="s">
        <v>3902</v>
      </c>
      <c r="G226" s="126"/>
    </row>
    <row r="227" spans="1:7" ht="164.25" customHeight="1" x14ac:dyDescent="0.2">
      <c r="A227" s="123"/>
      <c r="B227" s="124"/>
      <c r="C227" s="126" t="s">
        <v>1584</v>
      </c>
      <c r="D227" s="126" t="s">
        <v>1558</v>
      </c>
      <c r="E227" s="126" t="s">
        <v>1338</v>
      </c>
      <c r="F227" s="127" t="s">
        <v>3903</v>
      </c>
      <c r="G227" s="126" t="s">
        <v>1559</v>
      </c>
    </row>
    <row r="228" spans="1:7" ht="161.25" customHeight="1" x14ac:dyDescent="0.2">
      <c r="A228" s="123"/>
      <c r="B228" s="124"/>
      <c r="C228" s="126" t="s">
        <v>1585</v>
      </c>
      <c r="D228" s="126" t="s">
        <v>1336</v>
      </c>
      <c r="E228" s="126" t="s">
        <v>1335</v>
      </c>
      <c r="F228" s="127" t="s">
        <v>3904</v>
      </c>
      <c r="G228" s="127" t="s">
        <v>3788</v>
      </c>
    </row>
    <row r="229" spans="1:7" ht="156.75" x14ac:dyDescent="0.2">
      <c r="A229" s="123"/>
      <c r="B229" s="124"/>
      <c r="C229" s="126" t="s">
        <v>1586</v>
      </c>
      <c r="D229" s="126" t="s">
        <v>1346</v>
      </c>
      <c r="E229" s="126" t="s">
        <v>1345</v>
      </c>
      <c r="F229" s="127" t="s">
        <v>3905</v>
      </c>
      <c r="G229" s="127" t="s">
        <v>3791</v>
      </c>
    </row>
    <row r="230" spans="1:7" ht="99.75" x14ac:dyDescent="0.2">
      <c r="A230" s="123"/>
      <c r="B230" s="124"/>
      <c r="C230" s="126" t="s">
        <v>1587</v>
      </c>
      <c r="D230" s="126" t="s">
        <v>1352</v>
      </c>
      <c r="E230" s="126" t="s">
        <v>1351</v>
      </c>
      <c r="F230" s="127" t="s">
        <v>3906</v>
      </c>
      <c r="G230" s="126"/>
    </row>
    <row r="231" spans="1:7" ht="71.25" x14ac:dyDescent="0.2">
      <c r="A231" s="123"/>
      <c r="B231" s="124"/>
      <c r="C231" s="126" t="s">
        <v>1588</v>
      </c>
      <c r="D231" s="130" t="s">
        <v>1294</v>
      </c>
      <c r="E231" s="126" t="s">
        <v>1293</v>
      </c>
      <c r="F231" s="127" t="s">
        <v>3907</v>
      </c>
      <c r="G231" s="126" t="s">
        <v>1295</v>
      </c>
    </row>
    <row r="232" spans="1:7" ht="15" x14ac:dyDescent="0.2">
      <c r="A232" s="220" t="s">
        <v>4088</v>
      </c>
      <c r="B232" s="220"/>
      <c r="C232" s="220"/>
      <c r="D232" s="220"/>
      <c r="E232" s="220"/>
      <c r="F232" s="220"/>
      <c r="G232" s="220"/>
    </row>
    <row r="233" spans="1:7" ht="114" x14ac:dyDescent="0.2">
      <c r="A233" s="123"/>
      <c r="B233" s="124" t="s">
        <v>3012</v>
      </c>
      <c r="C233" s="126" t="s">
        <v>1589</v>
      </c>
      <c r="D233" s="126" t="s">
        <v>1139</v>
      </c>
      <c r="E233" s="126" t="s">
        <v>1138</v>
      </c>
      <c r="F233" s="127" t="s">
        <v>3908</v>
      </c>
      <c r="G233" s="127" t="s">
        <v>1590</v>
      </c>
    </row>
    <row r="234" spans="1:7" ht="114" x14ac:dyDescent="0.2">
      <c r="A234" s="123"/>
      <c r="B234" s="124" t="s">
        <v>3012</v>
      </c>
      <c r="C234" s="126" t="s">
        <v>1591</v>
      </c>
      <c r="D234" s="126" t="s">
        <v>1139</v>
      </c>
      <c r="E234" s="126" t="s">
        <v>1138</v>
      </c>
      <c r="F234" s="127" t="s">
        <v>3909</v>
      </c>
      <c r="G234" s="127" t="s">
        <v>1590</v>
      </c>
    </row>
    <row r="235" spans="1:7" ht="28.5" x14ac:dyDescent="0.2">
      <c r="A235" s="123"/>
      <c r="B235" s="124"/>
      <c r="C235" s="126" t="s">
        <v>1592</v>
      </c>
      <c r="D235" s="126" t="s">
        <v>1118</v>
      </c>
      <c r="E235" s="126" t="s">
        <v>1142</v>
      </c>
      <c r="F235" s="127" t="s">
        <v>3910</v>
      </c>
      <c r="G235" s="126"/>
    </row>
    <row r="236" spans="1:7" ht="164.25" customHeight="1" x14ac:dyDescent="0.2">
      <c r="A236" s="123"/>
      <c r="B236" s="124"/>
      <c r="C236" s="126" t="s">
        <v>1593</v>
      </c>
      <c r="D236" s="128" t="s">
        <v>1595</v>
      </c>
      <c r="E236" s="126" t="s">
        <v>1594</v>
      </c>
      <c r="F236" s="127" t="s">
        <v>3911</v>
      </c>
      <c r="G236" s="127" t="s">
        <v>3912</v>
      </c>
    </row>
    <row r="237" spans="1:7" ht="168.75" customHeight="1" x14ac:dyDescent="0.2">
      <c r="A237" s="123"/>
      <c r="B237" s="124"/>
      <c r="C237" s="126" t="s">
        <v>1596</v>
      </c>
      <c r="D237" s="128" t="s">
        <v>1595</v>
      </c>
      <c r="E237" s="126" t="s">
        <v>1597</v>
      </c>
      <c r="F237" s="127" t="s">
        <v>3911</v>
      </c>
      <c r="G237" s="127" t="s">
        <v>3913</v>
      </c>
    </row>
    <row r="238" spans="1:7" ht="99.75" x14ac:dyDescent="0.2">
      <c r="A238" s="123"/>
      <c r="B238" s="124"/>
      <c r="C238" s="126" t="s">
        <v>1598</v>
      </c>
      <c r="D238" s="128" t="s">
        <v>1600</v>
      </c>
      <c r="E238" s="126" t="s">
        <v>1599</v>
      </c>
      <c r="F238" s="127" t="s">
        <v>3914</v>
      </c>
      <c r="G238" s="126" t="s">
        <v>1601</v>
      </c>
    </row>
    <row r="239" spans="1:7" ht="134.25" customHeight="1" x14ac:dyDescent="0.2">
      <c r="A239" s="123"/>
      <c r="B239" s="124"/>
      <c r="C239" s="126" t="s">
        <v>1602</v>
      </c>
      <c r="D239" s="128" t="s">
        <v>1604</v>
      </c>
      <c r="E239" s="126" t="s">
        <v>1603</v>
      </c>
      <c r="F239" s="126" t="s">
        <v>1605</v>
      </c>
      <c r="G239" s="127" t="s">
        <v>3915</v>
      </c>
    </row>
    <row r="240" spans="1:7" ht="159.75" customHeight="1" x14ac:dyDescent="0.2">
      <c r="A240" s="123"/>
      <c r="B240" s="124"/>
      <c r="C240" s="126" t="s">
        <v>1606</v>
      </c>
      <c r="D240" s="128" t="s">
        <v>1309</v>
      </c>
      <c r="E240" s="126" t="s">
        <v>1607</v>
      </c>
      <c r="F240" s="126" t="s">
        <v>1608</v>
      </c>
      <c r="G240" s="126"/>
    </row>
    <row r="241" spans="1:7" ht="75" customHeight="1" x14ac:dyDescent="0.2">
      <c r="A241" s="123"/>
      <c r="B241" s="124"/>
      <c r="C241" s="126" t="s">
        <v>1609</v>
      </c>
      <c r="D241" s="128" t="s">
        <v>1182</v>
      </c>
      <c r="E241" s="126" t="s">
        <v>1610</v>
      </c>
      <c r="F241" s="126" t="s">
        <v>1611</v>
      </c>
      <c r="G241" s="126"/>
    </row>
    <row r="242" spans="1:7" ht="102.75" customHeight="1" x14ac:dyDescent="0.2">
      <c r="A242" s="123"/>
      <c r="B242" s="124"/>
      <c r="C242" s="126" t="s">
        <v>1612</v>
      </c>
      <c r="D242" s="128" t="s">
        <v>1614</v>
      </c>
      <c r="E242" s="126" t="s">
        <v>1613</v>
      </c>
      <c r="F242" s="127" t="s">
        <v>3916</v>
      </c>
      <c r="G242" s="126"/>
    </row>
    <row r="243" spans="1:7" ht="42.75" x14ac:dyDescent="0.2">
      <c r="A243" s="123"/>
      <c r="B243" s="124"/>
      <c r="C243" s="126" t="s">
        <v>1615</v>
      </c>
      <c r="D243" s="128" t="s">
        <v>1617</v>
      </c>
      <c r="E243" s="126" t="s">
        <v>1616</v>
      </c>
      <c r="F243" s="129" t="s">
        <v>4340</v>
      </c>
      <c r="G243" s="126"/>
    </row>
    <row r="244" spans="1:7" ht="71.25" customHeight="1" x14ac:dyDescent="0.2">
      <c r="A244" s="123"/>
      <c r="B244" s="124"/>
      <c r="C244" s="126" t="s">
        <v>1618</v>
      </c>
      <c r="D244" s="128" t="s">
        <v>1182</v>
      </c>
      <c r="E244" s="126" t="s">
        <v>1619</v>
      </c>
      <c r="F244" s="126" t="s">
        <v>1611</v>
      </c>
      <c r="G244" s="126"/>
    </row>
    <row r="245" spans="1:7" ht="242.25" x14ac:dyDescent="0.2">
      <c r="A245" s="123"/>
      <c r="B245" s="124"/>
      <c r="C245" s="126" t="s">
        <v>1620</v>
      </c>
      <c r="D245" s="128" t="s">
        <v>1622</v>
      </c>
      <c r="E245" s="126" t="s">
        <v>1621</v>
      </c>
      <c r="F245" s="126" t="s">
        <v>1623</v>
      </c>
      <c r="G245" s="126" t="s">
        <v>1624</v>
      </c>
    </row>
    <row r="246" spans="1:7" ht="114" x14ac:dyDescent="0.2">
      <c r="A246" s="123"/>
      <c r="B246" s="124"/>
      <c r="C246" s="126" t="s">
        <v>1625</v>
      </c>
      <c r="D246" s="128" t="s">
        <v>1336</v>
      </c>
      <c r="E246" s="126" t="s">
        <v>1626</v>
      </c>
      <c r="F246" s="126" t="s">
        <v>1627</v>
      </c>
      <c r="G246" s="126"/>
    </row>
    <row r="247" spans="1:7" ht="57" x14ac:dyDescent="0.2">
      <c r="A247" s="123"/>
      <c r="B247" s="124"/>
      <c r="C247" s="126" t="s">
        <v>1628</v>
      </c>
      <c r="D247" s="128" t="s">
        <v>1182</v>
      </c>
      <c r="E247" s="126" t="s">
        <v>1629</v>
      </c>
      <c r="F247" s="126" t="s">
        <v>1630</v>
      </c>
      <c r="G247" s="126"/>
    </row>
    <row r="248" spans="1:7" ht="190.5" customHeight="1" x14ac:dyDescent="0.2">
      <c r="A248" s="123"/>
      <c r="B248" s="124"/>
      <c r="C248" s="126" t="s">
        <v>1631</v>
      </c>
      <c r="D248" s="128" t="s">
        <v>1633</v>
      </c>
      <c r="E248" s="126" t="s">
        <v>1632</v>
      </c>
      <c r="F248" s="196" t="s">
        <v>1634</v>
      </c>
      <c r="G248" s="126" t="s">
        <v>1635</v>
      </c>
    </row>
    <row r="249" spans="1:7" ht="156.75" x14ac:dyDescent="0.2">
      <c r="A249" s="123"/>
      <c r="B249" s="124"/>
      <c r="C249" s="126" t="s">
        <v>1636</v>
      </c>
      <c r="D249" s="128" t="s">
        <v>1633</v>
      </c>
      <c r="E249" s="126" t="s">
        <v>1637</v>
      </c>
      <c r="F249" s="126" t="s">
        <v>1634</v>
      </c>
      <c r="G249" s="127" t="s">
        <v>3917</v>
      </c>
    </row>
    <row r="250" spans="1:7" ht="193.5" customHeight="1" x14ac:dyDescent="0.2">
      <c r="A250" s="123"/>
      <c r="B250" s="124"/>
      <c r="C250" s="126" t="s">
        <v>1638</v>
      </c>
      <c r="D250" s="128" t="s">
        <v>1633</v>
      </c>
      <c r="E250" s="126" t="s">
        <v>1639</v>
      </c>
      <c r="F250" s="126" t="s">
        <v>1640</v>
      </c>
      <c r="G250" s="126" t="s">
        <v>1635</v>
      </c>
    </row>
    <row r="251" spans="1:7" ht="171" x14ac:dyDescent="0.2">
      <c r="A251" s="123"/>
      <c r="B251" s="124"/>
      <c r="C251" s="126" t="s">
        <v>1641</v>
      </c>
      <c r="D251" s="128" t="s">
        <v>1633</v>
      </c>
      <c r="E251" s="126" t="s">
        <v>1642</v>
      </c>
      <c r="F251" s="126" t="s">
        <v>1640</v>
      </c>
      <c r="G251" s="126" t="s">
        <v>1635</v>
      </c>
    </row>
    <row r="252" spans="1:7" ht="57" x14ac:dyDescent="0.2">
      <c r="A252" s="123"/>
      <c r="B252" s="124"/>
      <c r="C252" s="126" t="s">
        <v>1643</v>
      </c>
      <c r="D252" s="126" t="s">
        <v>1143</v>
      </c>
      <c r="E252" s="126" t="s">
        <v>1644</v>
      </c>
      <c r="F252" s="196" t="s">
        <v>4853</v>
      </c>
      <c r="G252" s="126" t="s">
        <v>1645</v>
      </c>
    </row>
    <row r="253" spans="1:7" ht="42.75" x14ac:dyDescent="0.2">
      <c r="A253" s="123"/>
      <c r="B253" s="124"/>
      <c r="C253" s="126" t="s">
        <v>1646</v>
      </c>
      <c r="D253" s="126" t="s">
        <v>1240</v>
      </c>
      <c r="E253" s="126" t="s">
        <v>1647</v>
      </c>
      <c r="F253" s="127" t="s">
        <v>3918</v>
      </c>
      <c r="G253" s="126"/>
    </row>
    <row r="254" spans="1:7" ht="57" x14ac:dyDescent="0.2">
      <c r="A254" s="123"/>
      <c r="B254" s="124"/>
      <c r="C254" s="126" t="s">
        <v>1648</v>
      </c>
      <c r="D254" s="126" t="s">
        <v>1240</v>
      </c>
      <c r="E254" s="126" t="s">
        <v>1649</v>
      </c>
      <c r="F254" s="127" t="s">
        <v>3919</v>
      </c>
      <c r="G254" s="126"/>
    </row>
    <row r="255" spans="1:7" ht="57" x14ac:dyDescent="0.2">
      <c r="A255" s="123"/>
      <c r="B255" s="124"/>
      <c r="C255" s="126" t="s">
        <v>1650</v>
      </c>
      <c r="D255" s="126" t="s">
        <v>1240</v>
      </c>
      <c r="E255" s="126" t="s">
        <v>1651</v>
      </c>
      <c r="F255" s="127" t="s">
        <v>3920</v>
      </c>
      <c r="G255" s="126"/>
    </row>
    <row r="256" spans="1:7" ht="57" x14ac:dyDescent="0.2">
      <c r="A256" s="123"/>
      <c r="B256" s="124"/>
      <c r="C256" s="126" t="s">
        <v>1652</v>
      </c>
      <c r="D256" s="126" t="s">
        <v>1240</v>
      </c>
      <c r="E256" s="126" t="s">
        <v>1653</v>
      </c>
      <c r="F256" s="127" t="s">
        <v>3921</v>
      </c>
      <c r="G256" s="126"/>
    </row>
    <row r="257" spans="1:7" ht="57" x14ac:dyDescent="0.2">
      <c r="A257" s="123"/>
      <c r="B257" s="124"/>
      <c r="C257" s="126" t="s">
        <v>1654</v>
      </c>
      <c r="D257" s="126" t="s">
        <v>1240</v>
      </c>
      <c r="E257" s="126" t="s">
        <v>1655</v>
      </c>
      <c r="F257" s="127" t="s">
        <v>3922</v>
      </c>
      <c r="G257" s="126"/>
    </row>
    <row r="258" spans="1:7" ht="57" x14ac:dyDescent="0.2">
      <c r="A258" s="123"/>
      <c r="B258" s="124"/>
      <c r="C258" s="126" t="s">
        <v>1656</v>
      </c>
      <c r="D258" s="126" t="s">
        <v>1240</v>
      </c>
      <c r="E258" s="126" t="s">
        <v>1657</v>
      </c>
      <c r="F258" s="127" t="s">
        <v>3923</v>
      </c>
      <c r="G258" s="126"/>
    </row>
    <row r="259" spans="1:7" ht="42.75" x14ac:dyDescent="0.2">
      <c r="A259" s="123"/>
      <c r="B259" s="124"/>
      <c r="C259" s="126" t="s">
        <v>1658</v>
      </c>
      <c r="D259" s="126" t="s">
        <v>1240</v>
      </c>
      <c r="E259" s="126" t="s">
        <v>1659</v>
      </c>
      <c r="F259" s="127" t="s">
        <v>3924</v>
      </c>
      <c r="G259" s="126"/>
    </row>
    <row r="260" spans="1:7" ht="57" x14ac:dyDescent="0.2">
      <c r="A260" s="123"/>
      <c r="B260" s="124"/>
      <c r="C260" s="126" t="s">
        <v>1660</v>
      </c>
      <c r="D260" s="126" t="s">
        <v>1240</v>
      </c>
      <c r="E260" s="126" t="s">
        <v>1661</v>
      </c>
      <c r="F260" s="127" t="s">
        <v>3925</v>
      </c>
      <c r="G260" s="126"/>
    </row>
    <row r="261" spans="1:7" ht="42.75" x14ac:dyDescent="0.2">
      <c r="A261" s="123"/>
      <c r="B261" s="124"/>
      <c r="C261" s="126" t="s">
        <v>1662</v>
      </c>
      <c r="D261" s="126" t="s">
        <v>1240</v>
      </c>
      <c r="E261" s="126" t="s">
        <v>1663</v>
      </c>
      <c r="F261" s="127" t="s">
        <v>3926</v>
      </c>
      <c r="G261" s="126"/>
    </row>
    <row r="262" spans="1:7" ht="58.5" customHeight="1" x14ac:dyDescent="0.2">
      <c r="A262" s="123"/>
      <c r="B262" s="124"/>
      <c r="C262" s="126" t="s">
        <v>1664</v>
      </c>
      <c r="D262" s="126" t="s">
        <v>1666</v>
      </c>
      <c r="E262" s="126" t="s">
        <v>1665</v>
      </c>
      <c r="F262" s="127" t="s">
        <v>3927</v>
      </c>
      <c r="G262" s="127" t="s">
        <v>3928</v>
      </c>
    </row>
    <row r="263" spans="1:7" ht="158.25" customHeight="1" x14ac:dyDescent="0.2">
      <c r="A263" s="123"/>
      <c r="B263" s="124"/>
      <c r="C263" s="126" t="s">
        <v>1667</v>
      </c>
      <c r="D263" s="130" t="s">
        <v>1669</v>
      </c>
      <c r="E263" s="126" t="s">
        <v>1668</v>
      </c>
      <c r="F263" s="126" t="s">
        <v>1670</v>
      </c>
      <c r="G263" s="123"/>
    </row>
    <row r="264" spans="1:7" ht="87" customHeight="1" x14ac:dyDescent="0.2">
      <c r="A264" s="123"/>
      <c r="B264" s="124"/>
      <c r="C264" s="126" t="s">
        <v>1671</v>
      </c>
      <c r="D264" s="130" t="s">
        <v>1673</v>
      </c>
      <c r="E264" s="126" t="s">
        <v>1672</v>
      </c>
      <c r="F264" s="127" t="s">
        <v>3929</v>
      </c>
      <c r="G264" s="126"/>
    </row>
    <row r="265" spans="1:7" ht="89.25" customHeight="1" x14ac:dyDescent="0.2">
      <c r="A265" s="123"/>
      <c r="B265" s="124"/>
      <c r="C265" s="126" t="s">
        <v>1674</v>
      </c>
      <c r="D265" s="126" t="s">
        <v>1240</v>
      </c>
      <c r="E265" s="126" t="s">
        <v>1675</v>
      </c>
      <c r="F265" s="127" t="s">
        <v>3930</v>
      </c>
      <c r="G265" s="123"/>
    </row>
    <row r="266" spans="1:7" ht="118.5" customHeight="1" x14ac:dyDescent="0.2">
      <c r="A266" s="123"/>
      <c r="B266" s="124"/>
      <c r="C266" s="126" t="s">
        <v>1676</v>
      </c>
      <c r="D266" s="126" t="s">
        <v>1145</v>
      </c>
      <c r="E266" s="126" t="s">
        <v>1677</v>
      </c>
      <c r="F266" s="126" t="s">
        <v>1678</v>
      </c>
      <c r="G266" s="126"/>
    </row>
    <row r="267" spans="1:7" ht="204" customHeight="1" x14ac:dyDescent="0.2">
      <c r="A267" s="123"/>
      <c r="B267" s="124"/>
      <c r="C267" s="126" t="s">
        <v>1679</v>
      </c>
      <c r="D267" s="126" t="s">
        <v>1309</v>
      </c>
      <c r="E267" s="126" t="s">
        <v>1680</v>
      </c>
      <c r="F267" s="126" t="s">
        <v>1681</v>
      </c>
      <c r="G267" s="131" t="s">
        <v>3931</v>
      </c>
    </row>
    <row r="268" spans="1:7" ht="135.75" customHeight="1" x14ac:dyDescent="0.2">
      <c r="A268" s="123"/>
      <c r="B268" s="124"/>
      <c r="C268" s="126" t="s">
        <v>1682</v>
      </c>
      <c r="D268" s="126" t="s">
        <v>1684</v>
      </c>
      <c r="E268" s="126" t="s">
        <v>1683</v>
      </c>
      <c r="F268" s="127" t="s">
        <v>3932</v>
      </c>
      <c r="G268" s="126" t="s">
        <v>1685</v>
      </c>
    </row>
    <row r="269" spans="1:7" ht="28.5" x14ac:dyDescent="0.2">
      <c r="A269" s="123"/>
      <c r="B269" s="124"/>
      <c r="C269" s="126" t="s">
        <v>1686</v>
      </c>
      <c r="D269" s="126" t="s">
        <v>1428</v>
      </c>
      <c r="E269" s="126" t="s">
        <v>1687</v>
      </c>
      <c r="F269" s="127" t="s">
        <v>3933</v>
      </c>
      <c r="G269" s="126"/>
    </row>
    <row r="270" spans="1:7" ht="28.5" x14ac:dyDescent="0.2">
      <c r="A270" s="123"/>
      <c r="B270" s="124"/>
      <c r="C270" s="126" t="s">
        <v>1688</v>
      </c>
      <c r="D270" s="126" t="s">
        <v>1240</v>
      </c>
      <c r="E270" s="126" t="s">
        <v>1689</v>
      </c>
      <c r="F270" s="127" t="s">
        <v>3934</v>
      </c>
      <c r="G270" s="126"/>
    </row>
    <row r="271" spans="1:7" ht="30.75" customHeight="1" x14ac:dyDescent="0.2">
      <c r="A271" s="123"/>
      <c r="B271" s="124"/>
      <c r="C271" s="126" t="s">
        <v>1690</v>
      </c>
      <c r="D271" s="126" t="s">
        <v>1240</v>
      </c>
      <c r="E271" s="126" t="s">
        <v>1691</v>
      </c>
      <c r="F271" s="127" t="s">
        <v>3935</v>
      </c>
      <c r="G271" s="126"/>
    </row>
    <row r="272" spans="1:7" ht="34.5" customHeight="1" x14ac:dyDescent="0.2">
      <c r="A272" s="123"/>
      <c r="B272" s="124"/>
      <c r="C272" s="126" t="s">
        <v>1692</v>
      </c>
      <c r="D272" s="126" t="s">
        <v>1240</v>
      </c>
      <c r="E272" s="126" t="s">
        <v>1693</v>
      </c>
      <c r="F272" s="127" t="s">
        <v>3936</v>
      </c>
      <c r="G272" s="126"/>
    </row>
    <row r="273" spans="1:7" ht="28.5" x14ac:dyDescent="0.2">
      <c r="A273" s="123"/>
      <c r="B273" s="124"/>
      <c r="C273" s="126" t="s">
        <v>1694</v>
      </c>
      <c r="D273" s="126" t="s">
        <v>1428</v>
      </c>
      <c r="E273" s="126" t="s">
        <v>1695</v>
      </c>
      <c r="F273" s="127" t="s">
        <v>3937</v>
      </c>
      <c r="G273" s="126"/>
    </row>
    <row r="274" spans="1:7" ht="32.25" customHeight="1" x14ac:dyDescent="0.2">
      <c r="A274" s="123"/>
      <c r="B274" s="124"/>
      <c r="C274" s="126" t="s">
        <v>1696</v>
      </c>
      <c r="D274" s="126" t="s">
        <v>1698</v>
      </c>
      <c r="E274" s="126" t="s">
        <v>1697</v>
      </c>
      <c r="F274" s="127" t="s">
        <v>3938</v>
      </c>
      <c r="G274" s="126"/>
    </row>
    <row r="275" spans="1:7" ht="85.5" x14ac:dyDescent="0.2">
      <c r="A275" s="123"/>
      <c r="B275" s="124"/>
      <c r="C275" s="126" t="s">
        <v>1699</v>
      </c>
      <c r="D275" s="126" t="s">
        <v>1595</v>
      </c>
      <c r="E275" s="126" t="s">
        <v>1700</v>
      </c>
      <c r="F275" s="126" t="s">
        <v>1701</v>
      </c>
      <c r="G275" s="132" t="s">
        <v>1702</v>
      </c>
    </row>
    <row r="276" spans="1:7" ht="85.5" x14ac:dyDescent="0.2">
      <c r="A276" s="123"/>
      <c r="B276" s="124"/>
      <c r="C276" s="126" t="s">
        <v>1703</v>
      </c>
      <c r="D276" s="126" t="s">
        <v>1595</v>
      </c>
      <c r="E276" s="126" t="s">
        <v>1704</v>
      </c>
      <c r="F276" s="126" t="s">
        <v>1705</v>
      </c>
      <c r="G276" s="126" t="s">
        <v>1706</v>
      </c>
    </row>
    <row r="277" spans="1:7" ht="28.5" x14ac:dyDescent="0.2">
      <c r="A277" s="123"/>
      <c r="B277" s="124"/>
      <c r="C277" s="126" t="s">
        <v>1707</v>
      </c>
      <c r="D277" s="126" t="s">
        <v>1240</v>
      </c>
      <c r="E277" s="126" t="s">
        <v>1708</v>
      </c>
      <c r="F277" s="127" t="s">
        <v>3939</v>
      </c>
      <c r="G277" s="126"/>
    </row>
    <row r="278" spans="1:7" ht="42.75" x14ac:dyDescent="0.2">
      <c r="A278" s="123"/>
      <c r="B278" s="124"/>
      <c r="C278" s="126" t="s">
        <v>1709</v>
      </c>
      <c r="D278" s="126" t="s">
        <v>1240</v>
      </c>
      <c r="E278" s="126" t="s">
        <v>1710</v>
      </c>
      <c r="F278" s="127" t="s">
        <v>3940</v>
      </c>
      <c r="G278" s="126"/>
    </row>
    <row r="279" spans="1:7" ht="42.75" x14ac:dyDescent="0.2">
      <c r="A279" s="123"/>
      <c r="B279" s="124"/>
      <c r="C279" s="126" t="s">
        <v>1711</v>
      </c>
      <c r="D279" s="126" t="s">
        <v>1240</v>
      </c>
      <c r="E279" s="126" t="s">
        <v>1712</v>
      </c>
      <c r="F279" s="127" t="s">
        <v>3941</v>
      </c>
      <c r="G279" s="126"/>
    </row>
    <row r="280" spans="1:7" ht="132.75" customHeight="1" x14ac:dyDescent="0.2">
      <c r="A280" s="123"/>
      <c r="B280" s="124"/>
      <c r="C280" s="126" t="s">
        <v>1713</v>
      </c>
      <c r="D280" s="126" t="s">
        <v>1240</v>
      </c>
      <c r="E280" s="126" t="s">
        <v>1714</v>
      </c>
      <c r="F280" s="126" t="s">
        <v>1715</v>
      </c>
      <c r="G280" s="133" t="s">
        <v>3121</v>
      </c>
    </row>
    <row r="281" spans="1:7" ht="85.5" x14ac:dyDescent="0.2">
      <c r="A281" s="123"/>
      <c r="B281" s="124"/>
      <c r="C281" s="126" t="s">
        <v>1716</v>
      </c>
      <c r="D281" s="126" t="s">
        <v>1240</v>
      </c>
      <c r="E281" s="126" t="s">
        <v>1717</v>
      </c>
      <c r="F281" s="126" t="s">
        <v>1718</v>
      </c>
      <c r="G281" s="133" t="s">
        <v>3121</v>
      </c>
    </row>
    <row r="282" spans="1:7" ht="99.75" x14ac:dyDescent="0.2">
      <c r="A282" s="123"/>
      <c r="B282" s="124"/>
      <c r="C282" s="126" t="s">
        <v>1719</v>
      </c>
      <c r="D282" s="126" t="s">
        <v>1240</v>
      </c>
      <c r="E282" s="126" t="s">
        <v>1720</v>
      </c>
      <c r="F282" s="127" t="s">
        <v>3942</v>
      </c>
      <c r="G282" s="126"/>
    </row>
    <row r="283" spans="1:7" ht="102.75" customHeight="1" x14ac:dyDescent="0.2">
      <c r="A283" s="123"/>
      <c r="B283" s="124"/>
      <c r="C283" s="126" t="s">
        <v>1721</v>
      </c>
      <c r="D283" s="126" t="s">
        <v>1240</v>
      </c>
      <c r="E283" s="126" t="s">
        <v>1722</v>
      </c>
      <c r="F283" s="127" t="s">
        <v>3942</v>
      </c>
      <c r="G283" s="126"/>
    </row>
    <row r="284" spans="1:7" ht="57" x14ac:dyDescent="0.2">
      <c r="A284" s="123"/>
      <c r="B284" s="124"/>
      <c r="C284" s="126" t="s">
        <v>1723</v>
      </c>
      <c r="D284" s="126" t="s">
        <v>1725</v>
      </c>
      <c r="E284" s="126" t="s">
        <v>1724</v>
      </c>
      <c r="F284" s="127" t="s">
        <v>3943</v>
      </c>
      <c r="G284" s="126"/>
    </row>
    <row r="285" spans="1:7" ht="128.25" x14ac:dyDescent="0.2">
      <c r="A285" s="123"/>
      <c r="B285" s="124"/>
      <c r="C285" s="126" t="s">
        <v>1726</v>
      </c>
      <c r="D285" s="126" t="s">
        <v>1728</v>
      </c>
      <c r="E285" s="126" t="s">
        <v>1727</v>
      </c>
      <c r="F285" s="127" t="s">
        <v>3944</v>
      </c>
      <c r="G285" s="126"/>
    </row>
    <row r="286" spans="1:7" ht="15" x14ac:dyDescent="0.2">
      <c r="A286" s="220" t="s">
        <v>4565</v>
      </c>
      <c r="B286" s="220"/>
      <c r="C286" s="220"/>
      <c r="D286" s="220"/>
      <c r="E286" s="220"/>
      <c r="F286" s="220"/>
      <c r="G286" s="220"/>
    </row>
    <row r="287" spans="1:7" ht="57" x14ac:dyDescent="0.2">
      <c r="A287" s="123"/>
      <c r="B287" s="124"/>
      <c r="C287" s="113" t="s">
        <v>1729</v>
      </c>
      <c r="D287" s="125" t="s">
        <v>1182</v>
      </c>
      <c r="E287" s="113" t="s">
        <v>1391</v>
      </c>
      <c r="F287" s="113" t="s">
        <v>3945</v>
      </c>
      <c r="G287" s="113" t="s">
        <v>3946</v>
      </c>
    </row>
    <row r="288" spans="1:7" ht="30.75" customHeight="1" x14ac:dyDescent="0.2">
      <c r="A288" s="123" t="s">
        <v>3012</v>
      </c>
      <c r="B288" s="124"/>
      <c r="C288" s="113" t="s">
        <v>1730</v>
      </c>
      <c r="D288" s="115" t="s">
        <v>1731</v>
      </c>
      <c r="E288" s="113" t="s">
        <v>1110</v>
      </c>
      <c r="F288" s="113" t="s">
        <v>3947</v>
      </c>
      <c r="G288" s="113" t="s">
        <v>3949</v>
      </c>
    </row>
    <row r="289" spans="1:7" ht="28.5" x14ac:dyDescent="0.2">
      <c r="A289" s="123"/>
      <c r="B289" s="124"/>
      <c r="C289" s="113" t="s">
        <v>1732</v>
      </c>
      <c r="D289" s="115" t="s">
        <v>1733</v>
      </c>
      <c r="E289" s="113" t="s">
        <v>4854</v>
      </c>
      <c r="F289" s="113"/>
      <c r="G289" s="113" t="s">
        <v>3951</v>
      </c>
    </row>
    <row r="290" spans="1:7" ht="29.25" customHeight="1" x14ac:dyDescent="0.2">
      <c r="A290" s="123"/>
      <c r="B290" s="124"/>
      <c r="C290" s="113" t="s">
        <v>1734</v>
      </c>
      <c r="D290" s="115" t="s">
        <v>1733</v>
      </c>
      <c r="E290" s="113" t="s">
        <v>4854</v>
      </c>
      <c r="F290" s="113"/>
      <c r="G290" s="113" t="s">
        <v>3951</v>
      </c>
    </row>
    <row r="291" spans="1:7" ht="30.75" customHeight="1" x14ac:dyDescent="0.2">
      <c r="A291" s="123"/>
      <c r="B291" s="124"/>
      <c r="C291" s="113" t="s">
        <v>1735</v>
      </c>
      <c r="D291" s="115" t="s">
        <v>1733</v>
      </c>
      <c r="E291" s="113" t="s">
        <v>4854</v>
      </c>
      <c r="F291" s="113"/>
      <c r="G291" s="113" t="s">
        <v>3951</v>
      </c>
    </row>
    <row r="292" spans="1:7" ht="16.5" customHeight="1" x14ac:dyDescent="0.2">
      <c r="A292" s="123"/>
      <c r="B292" s="124"/>
      <c r="C292" s="113" t="s">
        <v>1736</v>
      </c>
      <c r="D292" s="115" t="s">
        <v>1737</v>
      </c>
      <c r="E292" s="113" t="s">
        <v>3952</v>
      </c>
      <c r="F292" s="113" t="s">
        <v>3953</v>
      </c>
      <c r="G292" s="113" t="s">
        <v>3949</v>
      </c>
    </row>
    <row r="293" spans="1:7" ht="57" x14ac:dyDescent="0.2">
      <c r="A293" s="123"/>
      <c r="B293" s="124"/>
      <c r="C293" s="113" t="s">
        <v>1738</v>
      </c>
      <c r="D293" s="115" t="s">
        <v>1233</v>
      </c>
      <c r="E293" s="113" t="s">
        <v>3954</v>
      </c>
      <c r="F293" s="113" t="s">
        <v>3953</v>
      </c>
      <c r="G293" s="113" t="s">
        <v>3948</v>
      </c>
    </row>
    <row r="294" spans="1:7" ht="42.75" x14ac:dyDescent="0.2">
      <c r="A294" s="123"/>
      <c r="B294" s="124" t="s">
        <v>3012</v>
      </c>
      <c r="C294" s="113" t="s">
        <v>1739</v>
      </c>
      <c r="D294" s="115" t="s">
        <v>1740</v>
      </c>
      <c r="E294" s="113" t="s">
        <v>3955</v>
      </c>
      <c r="F294" s="113" t="s">
        <v>3953</v>
      </c>
      <c r="G294" s="113"/>
    </row>
    <row r="295" spans="1:7" ht="42.75" x14ac:dyDescent="0.2">
      <c r="A295" s="123"/>
      <c r="B295" s="124"/>
      <c r="C295" s="113" t="s">
        <v>1741</v>
      </c>
      <c r="D295" s="115" t="s">
        <v>1240</v>
      </c>
      <c r="E295" s="113" t="s">
        <v>3956</v>
      </c>
      <c r="F295" s="113" t="s">
        <v>3957</v>
      </c>
      <c r="G295" s="113"/>
    </row>
    <row r="296" spans="1:7" ht="62.25" customHeight="1" x14ac:dyDescent="0.2">
      <c r="A296" s="123"/>
      <c r="B296" s="124"/>
      <c r="C296" s="113" t="s">
        <v>1742</v>
      </c>
      <c r="D296" s="115" t="s">
        <v>1666</v>
      </c>
      <c r="E296" s="113" t="s">
        <v>3958</v>
      </c>
      <c r="F296" s="113" t="s">
        <v>3959</v>
      </c>
      <c r="G296" s="113" t="s">
        <v>3960</v>
      </c>
    </row>
    <row r="297" spans="1:7" ht="156.75" x14ac:dyDescent="0.2">
      <c r="A297" s="123"/>
      <c r="B297" s="124"/>
      <c r="C297" s="113" t="s">
        <v>1743</v>
      </c>
      <c r="D297" s="115" t="s">
        <v>1744</v>
      </c>
      <c r="E297" s="113" t="s">
        <v>3950</v>
      </c>
      <c r="F297" s="113" t="s">
        <v>3961</v>
      </c>
      <c r="G297" s="113" t="s">
        <v>3962</v>
      </c>
    </row>
    <row r="298" spans="1:7" ht="128.25" x14ac:dyDescent="0.2">
      <c r="A298" s="123"/>
      <c r="B298" s="124"/>
      <c r="C298" s="113" t="s">
        <v>1745</v>
      </c>
      <c r="D298" s="115" t="s">
        <v>1746</v>
      </c>
      <c r="E298" s="113" t="s">
        <v>1138</v>
      </c>
      <c r="F298" s="113" t="s">
        <v>3964</v>
      </c>
      <c r="G298" s="113" t="s">
        <v>3965</v>
      </c>
    </row>
    <row r="299" spans="1:7" ht="114" x14ac:dyDescent="0.2">
      <c r="A299" s="123"/>
      <c r="B299" s="124"/>
      <c r="C299" s="113" t="s">
        <v>1747</v>
      </c>
      <c r="D299" s="115" t="s">
        <v>1746</v>
      </c>
      <c r="E299" s="113" t="s">
        <v>3963</v>
      </c>
      <c r="F299" s="113" t="s">
        <v>3966</v>
      </c>
      <c r="G299" s="113" t="s">
        <v>3967</v>
      </c>
    </row>
    <row r="300" spans="1:7" ht="30" customHeight="1" x14ac:dyDescent="0.2">
      <c r="A300" s="123"/>
      <c r="B300" s="124"/>
      <c r="C300" s="113" t="s">
        <v>1748</v>
      </c>
      <c r="D300" s="115" t="s">
        <v>1240</v>
      </c>
      <c r="E300" s="113" t="s">
        <v>1142</v>
      </c>
      <c r="F300" s="113" t="s">
        <v>3968</v>
      </c>
      <c r="G300" s="113" t="s">
        <v>3969</v>
      </c>
    </row>
    <row r="301" spans="1:7" ht="219" customHeight="1" x14ac:dyDescent="0.2">
      <c r="A301" s="123"/>
      <c r="B301" s="124"/>
      <c r="C301" s="113" t="s">
        <v>1749</v>
      </c>
      <c r="D301" s="115" t="s">
        <v>1595</v>
      </c>
      <c r="E301" s="113" t="s">
        <v>3970</v>
      </c>
      <c r="F301" s="115" t="s">
        <v>3972</v>
      </c>
      <c r="G301" s="113" t="s">
        <v>3971</v>
      </c>
    </row>
    <row r="302" spans="1:7" ht="213.75" x14ac:dyDescent="0.2">
      <c r="A302" s="123"/>
      <c r="B302" s="124"/>
      <c r="C302" s="113" t="s">
        <v>1750</v>
      </c>
      <c r="D302" s="115" t="s">
        <v>1595</v>
      </c>
      <c r="E302" s="113" t="s">
        <v>4855</v>
      </c>
      <c r="F302" s="115" t="s">
        <v>4846</v>
      </c>
      <c r="G302" s="113" t="s">
        <v>4847</v>
      </c>
    </row>
    <row r="303" spans="1:7" ht="99.75" x14ac:dyDescent="0.2">
      <c r="A303" s="123"/>
      <c r="B303" s="124"/>
      <c r="C303" s="113" t="s">
        <v>1751</v>
      </c>
      <c r="D303" s="115" t="s">
        <v>1752</v>
      </c>
      <c r="E303" s="113" t="s">
        <v>1599</v>
      </c>
      <c r="F303" s="113" t="s">
        <v>4849</v>
      </c>
      <c r="G303" s="113" t="s">
        <v>4856</v>
      </c>
    </row>
    <row r="304" spans="1:7" ht="213.75" x14ac:dyDescent="0.2">
      <c r="A304" s="123"/>
      <c r="B304" s="124"/>
      <c r="C304" s="113" t="s">
        <v>1753</v>
      </c>
      <c r="D304" s="125" t="s">
        <v>1754</v>
      </c>
      <c r="E304" s="113" t="s">
        <v>1603</v>
      </c>
      <c r="F304" s="115" t="s">
        <v>4850</v>
      </c>
      <c r="G304" s="115" t="s">
        <v>4848</v>
      </c>
    </row>
    <row r="305" spans="1:7" ht="142.5" x14ac:dyDescent="0.2">
      <c r="A305" s="123"/>
      <c r="B305" s="124"/>
      <c r="C305" s="113" t="s">
        <v>1755</v>
      </c>
      <c r="D305" s="125" t="s">
        <v>1756</v>
      </c>
      <c r="E305" s="113" t="s">
        <v>1607</v>
      </c>
      <c r="F305" s="115" t="s">
        <v>3973</v>
      </c>
      <c r="G305" s="113"/>
    </row>
    <row r="306" spans="1:7" ht="57" x14ac:dyDescent="0.2">
      <c r="A306" s="123"/>
      <c r="B306" s="124"/>
      <c r="C306" s="113" t="s">
        <v>1757</v>
      </c>
      <c r="D306" s="125" t="s">
        <v>1758</v>
      </c>
      <c r="E306" s="113" t="s">
        <v>4562</v>
      </c>
      <c r="F306" s="115" t="s">
        <v>3974</v>
      </c>
      <c r="G306" s="113"/>
    </row>
    <row r="307" spans="1:7" ht="99.75" x14ac:dyDescent="0.2">
      <c r="A307" s="123"/>
      <c r="B307" s="124"/>
      <c r="C307" s="113" t="s">
        <v>1759</v>
      </c>
      <c r="D307" s="125" t="s">
        <v>1760</v>
      </c>
      <c r="E307" s="113" t="s">
        <v>1613</v>
      </c>
      <c r="F307" s="115" t="s">
        <v>3975</v>
      </c>
      <c r="G307" s="113"/>
    </row>
    <row r="308" spans="1:7" ht="42.75" x14ac:dyDescent="0.2">
      <c r="A308" s="123"/>
      <c r="B308" s="124"/>
      <c r="C308" s="113" t="s">
        <v>1761</v>
      </c>
      <c r="D308" s="115" t="s">
        <v>1617</v>
      </c>
      <c r="E308" s="113" t="s">
        <v>3976</v>
      </c>
      <c r="F308" s="113" t="s">
        <v>3977</v>
      </c>
      <c r="G308" s="113"/>
    </row>
    <row r="309" spans="1:7" ht="57" x14ac:dyDescent="0.2">
      <c r="A309" s="123"/>
      <c r="B309" s="124"/>
      <c r="C309" s="113" t="s">
        <v>1762</v>
      </c>
      <c r="D309" s="125" t="s">
        <v>1182</v>
      </c>
      <c r="E309" s="113" t="s">
        <v>1619</v>
      </c>
      <c r="F309" s="115" t="s">
        <v>3974</v>
      </c>
      <c r="G309" s="113"/>
    </row>
    <row r="310" spans="1:7" ht="356.25" x14ac:dyDescent="0.2">
      <c r="A310" s="123"/>
      <c r="B310" s="124"/>
      <c r="C310" s="113" t="s">
        <v>1763</v>
      </c>
      <c r="D310" s="125" t="s">
        <v>1764</v>
      </c>
      <c r="E310" s="113" t="s">
        <v>3978</v>
      </c>
      <c r="F310" s="115"/>
      <c r="G310" s="115" t="s">
        <v>4851</v>
      </c>
    </row>
    <row r="311" spans="1:7" ht="114" x14ac:dyDescent="0.2">
      <c r="A311" s="123"/>
      <c r="B311" s="124"/>
      <c r="C311" s="113" t="s">
        <v>1765</v>
      </c>
      <c r="D311" s="125" t="s">
        <v>1728</v>
      </c>
      <c r="E311" s="113" t="s">
        <v>1626</v>
      </c>
      <c r="F311" s="115" t="s">
        <v>4563</v>
      </c>
      <c r="G311" s="115"/>
    </row>
    <row r="312" spans="1:7" ht="57" x14ac:dyDescent="0.2">
      <c r="A312" s="123"/>
      <c r="B312" s="124"/>
      <c r="C312" s="113" t="s">
        <v>1766</v>
      </c>
      <c r="D312" s="125" t="s">
        <v>1182</v>
      </c>
      <c r="E312" s="113" t="s">
        <v>3980</v>
      </c>
      <c r="F312" s="115" t="s">
        <v>3979</v>
      </c>
      <c r="G312" s="113"/>
    </row>
    <row r="313" spans="1:7" ht="171" x14ac:dyDescent="0.2">
      <c r="A313" s="123"/>
      <c r="B313" s="124"/>
      <c r="C313" s="113" t="s">
        <v>1767</v>
      </c>
      <c r="D313" s="125" t="s">
        <v>1768</v>
      </c>
      <c r="E313" s="113" t="s">
        <v>1632</v>
      </c>
      <c r="F313" s="115" t="s">
        <v>3981</v>
      </c>
      <c r="G313" s="113"/>
    </row>
    <row r="314" spans="1:7" ht="185.25" x14ac:dyDescent="0.2">
      <c r="A314" s="123"/>
      <c r="B314" s="124"/>
      <c r="C314" s="113" t="s">
        <v>1769</v>
      </c>
      <c r="D314" s="125" t="s">
        <v>1770</v>
      </c>
      <c r="E314" s="113" t="s">
        <v>1637</v>
      </c>
      <c r="F314" s="115" t="s">
        <v>3982</v>
      </c>
      <c r="G314" s="113" t="s">
        <v>3122</v>
      </c>
    </row>
    <row r="315" spans="1:7" ht="199.5" x14ac:dyDescent="0.2">
      <c r="A315" s="123"/>
      <c r="B315" s="124"/>
      <c r="C315" s="113" t="s">
        <v>1771</v>
      </c>
      <c r="D315" s="125" t="s">
        <v>1633</v>
      </c>
      <c r="E315" s="113" t="s">
        <v>1639</v>
      </c>
      <c r="F315" s="115" t="s">
        <v>3983</v>
      </c>
      <c r="G315" s="113"/>
    </row>
    <row r="316" spans="1:7" ht="171" x14ac:dyDescent="0.2">
      <c r="A316" s="123"/>
      <c r="B316" s="124"/>
      <c r="C316" s="113" t="s">
        <v>1772</v>
      </c>
      <c r="D316" s="125" t="s">
        <v>1633</v>
      </c>
      <c r="E316" s="113" t="s">
        <v>1642</v>
      </c>
      <c r="F316" s="115" t="s">
        <v>3984</v>
      </c>
      <c r="G316" s="113"/>
    </row>
    <row r="317" spans="1:7" ht="42.75" x14ac:dyDescent="0.2">
      <c r="A317" s="123"/>
      <c r="B317" s="124"/>
      <c r="C317" s="113" t="s">
        <v>1773</v>
      </c>
      <c r="D317" s="115" t="s">
        <v>1774</v>
      </c>
      <c r="E317" s="113" t="s">
        <v>1644</v>
      </c>
      <c r="F317" s="113" t="s">
        <v>1775</v>
      </c>
      <c r="G317" s="113"/>
    </row>
    <row r="318" spans="1:7" ht="57" x14ac:dyDescent="0.2">
      <c r="A318" s="123"/>
      <c r="B318" s="124"/>
      <c r="C318" s="113" t="s">
        <v>1776</v>
      </c>
      <c r="D318" s="115" t="s">
        <v>1777</v>
      </c>
      <c r="E318" s="113" t="s">
        <v>4857</v>
      </c>
      <c r="F318" s="113" t="s">
        <v>4341</v>
      </c>
      <c r="G318" s="113"/>
    </row>
    <row r="319" spans="1:7" ht="57" x14ac:dyDescent="0.2">
      <c r="A319" s="123"/>
      <c r="B319" s="124"/>
      <c r="C319" s="113" t="s">
        <v>1778</v>
      </c>
      <c r="D319" s="115" t="s">
        <v>1777</v>
      </c>
      <c r="E319" s="113" t="s">
        <v>4852</v>
      </c>
      <c r="F319" s="113" t="s">
        <v>4342</v>
      </c>
      <c r="G319" s="113"/>
    </row>
    <row r="320" spans="1:7" ht="57" x14ac:dyDescent="0.2">
      <c r="A320" s="123"/>
      <c r="B320" s="124"/>
      <c r="C320" s="113" t="s">
        <v>1779</v>
      </c>
      <c r="D320" s="115" t="s">
        <v>1777</v>
      </c>
      <c r="E320" s="113" t="s">
        <v>4858</v>
      </c>
      <c r="F320" s="113" t="s">
        <v>4343</v>
      </c>
      <c r="G320" s="113"/>
    </row>
    <row r="321" spans="1:7" ht="57" x14ac:dyDescent="0.2">
      <c r="A321" s="123"/>
      <c r="B321" s="124"/>
      <c r="C321" s="113" t="s">
        <v>1780</v>
      </c>
      <c r="D321" s="115" t="s">
        <v>1777</v>
      </c>
      <c r="E321" s="113" t="s">
        <v>4859</v>
      </c>
      <c r="F321" s="113" t="s">
        <v>4343</v>
      </c>
      <c r="G321" s="113"/>
    </row>
    <row r="322" spans="1:7" ht="57" x14ac:dyDescent="0.2">
      <c r="A322" s="123"/>
      <c r="B322" s="124"/>
      <c r="C322" s="113" t="s">
        <v>1781</v>
      </c>
      <c r="D322" s="115" t="s">
        <v>1777</v>
      </c>
      <c r="E322" s="113" t="s">
        <v>4860</v>
      </c>
      <c r="F322" s="113" t="s">
        <v>4343</v>
      </c>
      <c r="G322" s="113"/>
    </row>
    <row r="323" spans="1:7" ht="57" x14ac:dyDescent="0.2">
      <c r="A323" s="123"/>
      <c r="B323" s="124"/>
      <c r="C323" s="113" t="s">
        <v>1782</v>
      </c>
      <c r="D323" s="115" t="s">
        <v>1777</v>
      </c>
      <c r="E323" s="113" t="s">
        <v>4861</v>
      </c>
      <c r="F323" s="113" t="s">
        <v>4343</v>
      </c>
      <c r="G323" s="113"/>
    </row>
    <row r="324" spans="1:7" ht="42.75" x14ac:dyDescent="0.2">
      <c r="A324" s="123"/>
      <c r="B324" s="124"/>
      <c r="C324" s="113" t="s">
        <v>1783</v>
      </c>
      <c r="D324" s="115" t="s">
        <v>1733</v>
      </c>
      <c r="E324" s="113" t="s">
        <v>4862</v>
      </c>
      <c r="F324" s="113" t="s">
        <v>4344</v>
      </c>
      <c r="G324" s="113"/>
    </row>
    <row r="325" spans="1:7" ht="42.75" x14ac:dyDescent="0.2">
      <c r="A325" s="123"/>
      <c r="B325" s="124"/>
      <c r="C325" s="113" t="s">
        <v>1784</v>
      </c>
      <c r="D325" s="115" t="s">
        <v>1733</v>
      </c>
      <c r="E325" s="113" t="s">
        <v>4863</v>
      </c>
      <c r="F325" s="113" t="s">
        <v>4345</v>
      </c>
      <c r="G325" s="113"/>
    </row>
    <row r="326" spans="1:7" ht="28.5" x14ac:dyDescent="0.2">
      <c r="A326" s="123"/>
      <c r="B326" s="124"/>
      <c r="C326" s="113" t="s">
        <v>1785</v>
      </c>
      <c r="D326" s="115" t="s">
        <v>1733</v>
      </c>
      <c r="E326" s="113" t="s">
        <v>4564</v>
      </c>
      <c r="F326" s="113" t="s">
        <v>4346</v>
      </c>
      <c r="G326" s="113"/>
    </row>
  </sheetData>
  <mergeCells count="7">
    <mergeCell ref="H119:O119"/>
    <mergeCell ref="A286:G286"/>
    <mergeCell ref="A9:G9"/>
    <mergeCell ref="A119:G119"/>
    <mergeCell ref="A188:G188"/>
    <mergeCell ref="A210:G210"/>
    <mergeCell ref="A232:G232"/>
  </mergeCells>
  <hyperlinks>
    <hyperlink ref="E1" location="'Aperçu SNC'!A1" display="Retour vers Overview" xr:uid="{00000000-0004-0000-0300-000000000000}"/>
    <hyperlink ref="B6" location="'VZ1990'!A286" display="Bâtiments" xr:uid="{00000000-0004-0000-0300-000001000000}"/>
    <hyperlink ref="B4" location="'VZ1990'!A9" display="Personnes" xr:uid="{00000000-0004-0000-0300-000002000000}"/>
    <hyperlink ref="B5" location="'VZ1990'!A119" display="Ménages" xr:uid="{00000000-0004-0000-0300-000003000000}"/>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sheetPr>
  <dimension ref="A1:M438"/>
  <sheetViews>
    <sheetView zoomScaleNormal="100" workbookViewId="0"/>
  </sheetViews>
  <sheetFormatPr baseColWidth="10" defaultColWidth="10.5" defaultRowHeight="14.25" x14ac:dyDescent="0.2"/>
  <cols>
    <col min="1" max="1" width="24.75" style="72" customWidth="1"/>
    <col min="2" max="2" width="12.25" style="78" customWidth="1"/>
    <col min="3" max="3" width="19" style="72" customWidth="1"/>
    <col min="4" max="4" width="37.625" style="118" customWidth="1"/>
    <col min="5" max="5" width="15" style="72" customWidth="1"/>
    <col min="6" max="6" width="44" style="118" customWidth="1"/>
    <col min="7" max="7" width="43.625" style="118" customWidth="1"/>
    <col min="8" max="16384" width="10.5" style="72"/>
  </cols>
  <sheetData>
    <row r="1" spans="1:13" s="44" customFormat="1" ht="15" x14ac:dyDescent="0.2">
      <c r="A1" s="11" t="s">
        <v>5</v>
      </c>
      <c r="B1" s="13" t="s">
        <v>7</v>
      </c>
      <c r="C1" s="11"/>
      <c r="D1" s="42" t="s">
        <v>4297</v>
      </c>
      <c r="E1" s="43"/>
      <c r="F1" s="42"/>
      <c r="G1" s="14"/>
      <c r="H1" s="14"/>
      <c r="I1" s="14"/>
      <c r="J1" s="14"/>
      <c r="K1" s="14"/>
      <c r="L1" s="10"/>
      <c r="M1" s="10"/>
    </row>
    <row r="2" spans="1:13" s="44" customFormat="1" ht="15" x14ac:dyDescent="0.2">
      <c r="A2" s="12" t="s">
        <v>51</v>
      </c>
      <c r="B2" s="13" t="s">
        <v>16</v>
      </c>
      <c r="C2" s="11"/>
      <c r="D2" s="42"/>
      <c r="E2" s="14"/>
      <c r="F2" s="42"/>
      <c r="G2" s="14"/>
      <c r="H2" s="14"/>
      <c r="I2" s="14"/>
      <c r="J2" s="14"/>
      <c r="K2" s="14"/>
      <c r="L2" s="10"/>
      <c r="M2" s="10"/>
    </row>
    <row r="3" spans="1:13" s="44" customFormat="1" ht="15" x14ac:dyDescent="0.2">
      <c r="A3" s="11" t="s">
        <v>17</v>
      </c>
      <c r="B3" s="13">
        <v>2000</v>
      </c>
      <c r="C3" s="11"/>
      <c r="D3" s="14"/>
      <c r="E3" s="14"/>
      <c r="F3" s="14"/>
      <c r="G3" s="14"/>
      <c r="H3" s="14"/>
      <c r="I3" s="14"/>
      <c r="J3" s="14"/>
      <c r="K3" s="14"/>
      <c r="L3" s="10"/>
      <c r="M3" s="10"/>
    </row>
    <row r="4" spans="1:13" s="44" customFormat="1" ht="15" x14ac:dyDescent="0.2">
      <c r="A4" s="11" t="s">
        <v>18</v>
      </c>
      <c r="B4" s="52" t="s">
        <v>4298</v>
      </c>
      <c r="C4" s="11"/>
      <c r="D4" s="14"/>
      <c r="E4" s="14"/>
      <c r="F4" s="14"/>
      <c r="G4" s="14"/>
      <c r="H4" s="14"/>
      <c r="I4" s="14"/>
      <c r="J4" s="14"/>
      <c r="K4" s="14"/>
      <c r="L4" s="10"/>
      <c r="M4" s="10"/>
    </row>
    <row r="5" spans="1:13" s="44" customFormat="1" ht="15" x14ac:dyDescent="0.2">
      <c r="A5" s="11"/>
      <c r="B5" s="52" t="s">
        <v>4299</v>
      </c>
      <c r="C5" s="11"/>
      <c r="D5" s="14"/>
      <c r="E5" s="14"/>
      <c r="F5" s="14"/>
      <c r="G5" s="14"/>
      <c r="H5" s="14"/>
      <c r="I5" s="14"/>
      <c r="J5" s="14"/>
      <c r="K5" s="14"/>
      <c r="L5" s="10"/>
      <c r="M5" s="10"/>
    </row>
    <row r="6" spans="1:13" s="44" customFormat="1" ht="15" x14ac:dyDescent="0.2">
      <c r="A6" s="11"/>
      <c r="B6" s="52" t="s">
        <v>4300</v>
      </c>
      <c r="C6" s="11"/>
      <c r="D6" s="14"/>
      <c r="E6" s="14"/>
      <c r="F6" s="14"/>
      <c r="G6" s="14"/>
      <c r="H6" s="14"/>
      <c r="I6" s="14"/>
      <c r="J6" s="14"/>
      <c r="K6" s="14"/>
      <c r="L6" s="10"/>
      <c r="M6" s="10"/>
    </row>
    <row r="8" spans="1:13" ht="46.5" customHeight="1" x14ac:dyDescent="0.2">
      <c r="A8" s="117" t="s">
        <v>4301</v>
      </c>
      <c r="B8" s="77" t="s">
        <v>13</v>
      </c>
      <c r="C8" s="102" t="s">
        <v>19</v>
      </c>
      <c r="D8" s="76" t="s">
        <v>56</v>
      </c>
      <c r="E8" s="102" t="s">
        <v>20</v>
      </c>
      <c r="F8" s="76" t="s">
        <v>1105</v>
      </c>
      <c r="G8" s="77" t="s">
        <v>18</v>
      </c>
      <c r="H8" s="45"/>
      <c r="I8" s="46"/>
      <c r="J8" s="46"/>
      <c r="K8" s="46"/>
      <c r="L8" s="46"/>
      <c r="M8" s="46"/>
    </row>
    <row r="9" spans="1:13" ht="15" x14ac:dyDescent="0.25">
      <c r="A9" s="225" t="s">
        <v>4298</v>
      </c>
      <c r="B9" s="225"/>
      <c r="C9" s="225"/>
      <c r="D9" s="225"/>
      <c r="E9" s="225"/>
      <c r="F9" s="225"/>
      <c r="G9" s="225"/>
    </row>
    <row r="10" spans="1:13" x14ac:dyDescent="0.2">
      <c r="A10" s="144"/>
      <c r="B10" s="145"/>
      <c r="C10" s="114" t="s">
        <v>298</v>
      </c>
      <c r="D10" s="114" t="s">
        <v>299</v>
      </c>
      <c r="E10" s="146" t="s">
        <v>300</v>
      </c>
      <c r="F10" s="114"/>
      <c r="G10" s="114" t="s">
        <v>301</v>
      </c>
    </row>
    <row r="11" spans="1:13" x14ac:dyDescent="0.2">
      <c r="A11" s="144"/>
      <c r="B11" s="145" t="s">
        <v>3012</v>
      </c>
      <c r="C11" s="114" t="s">
        <v>302</v>
      </c>
      <c r="D11" s="114" t="s">
        <v>303</v>
      </c>
      <c r="E11" s="146" t="s">
        <v>304</v>
      </c>
      <c r="F11" s="114" t="s">
        <v>305</v>
      </c>
      <c r="G11" s="114"/>
    </row>
    <row r="12" spans="1:13" ht="28.5" x14ac:dyDescent="0.2">
      <c r="A12" s="144"/>
      <c r="B12" s="145" t="s">
        <v>3012</v>
      </c>
      <c r="C12" s="114" t="s">
        <v>306</v>
      </c>
      <c r="D12" s="114" t="s">
        <v>307</v>
      </c>
      <c r="E12" s="146" t="s">
        <v>308</v>
      </c>
      <c r="F12" s="114" t="s">
        <v>309</v>
      </c>
      <c r="G12" s="114" t="s">
        <v>310</v>
      </c>
    </row>
    <row r="13" spans="1:13" ht="28.5" x14ac:dyDescent="0.2">
      <c r="A13" s="144"/>
      <c r="B13" s="145" t="s">
        <v>3012</v>
      </c>
      <c r="C13" s="114" t="s">
        <v>311</v>
      </c>
      <c r="D13" s="114" t="s">
        <v>312</v>
      </c>
      <c r="E13" s="146" t="s">
        <v>313</v>
      </c>
      <c r="F13" s="114"/>
      <c r="G13" s="114" t="s">
        <v>314</v>
      </c>
    </row>
    <row r="14" spans="1:13" ht="28.5" x14ac:dyDescent="0.2">
      <c r="A14" s="144"/>
      <c r="B14" s="145" t="s">
        <v>3012</v>
      </c>
      <c r="C14" s="114" t="s">
        <v>315</v>
      </c>
      <c r="D14" s="114" t="s">
        <v>316</v>
      </c>
      <c r="E14" s="146" t="s">
        <v>313</v>
      </c>
      <c r="F14" s="114"/>
      <c r="G14" s="114" t="s">
        <v>317</v>
      </c>
    </row>
    <row r="15" spans="1:13" x14ac:dyDescent="0.2">
      <c r="A15" s="144"/>
      <c r="B15" s="145" t="s">
        <v>3012</v>
      </c>
      <c r="C15" s="114" t="s">
        <v>318</v>
      </c>
      <c r="D15" s="114" t="s">
        <v>319</v>
      </c>
      <c r="E15" s="147" t="s">
        <v>320</v>
      </c>
      <c r="F15" s="114"/>
      <c r="G15" s="114" t="s">
        <v>253</v>
      </c>
    </row>
    <row r="16" spans="1:13" ht="28.5" x14ac:dyDescent="0.2">
      <c r="A16" s="144"/>
      <c r="B16" s="145" t="s">
        <v>3012</v>
      </c>
      <c r="C16" s="114" t="s">
        <v>321</v>
      </c>
      <c r="D16" s="114" t="s">
        <v>322</v>
      </c>
      <c r="E16" s="146" t="s">
        <v>313</v>
      </c>
      <c r="F16" s="114"/>
      <c r="G16" s="114" t="s">
        <v>323</v>
      </c>
    </row>
    <row r="17" spans="1:7" ht="42.75" x14ac:dyDescent="0.2">
      <c r="A17" s="144"/>
      <c r="B17" s="145"/>
      <c r="C17" s="114" t="s">
        <v>324</v>
      </c>
      <c r="D17" s="114" t="s">
        <v>325</v>
      </c>
      <c r="E17" s="148" t="s">
        <v>326</v>
      </c>
      <c r="F17" s="113" t="s">
        <v>4353</v>
      </c>
      <c r="G17" s="114" t="s">
        <v>328</v>
      </c>
    </row>
    <row r="18" spans="1:7" x14ac:dyDescent="0.2">
      <c r="A18" s="144"/>
      <c r="B18" s="145"/>
      <c r="C18" s="114" t="s">
        <v>329</v>
      </c>
      <c r="D18" s="114" t="s">
        <v>330</v>
      </c>
      <c r="E18" s="148"/>
      <c r="F18" s="113"/>
      <c r="G18" s="114" t="s">
        <v>331</v>
      </c>
    </row>
    <row r="19" spans="1:7" x14ac:dyDescent="0.2">
      <c r="A19" s="144"/>
      <c r="B19" s="145"/>
      <c r="C19" s="114" t="s">
        <v>332</v>
      </c>
      <c r="D19" s="114" t="s">
        <v>333</v>
      </c>
      <c r="E19" s="148"/>
      <c r="F19" s="113"/>
      <c r="G19" s="114" t="s">
        <v>334</v>
      </c>
    </row>
    <row r="20" spans="1:7" x14ac:dyDescent="0.2">
      <c r="A20" s="144"/>
      <c r="B20" s="145"/>
      <c r="C20" s="114" t="s">
        <v>335</v>
      </c>
      <c r="D20" s="114" t="s">
        <v>336</v>
      </c>
      <c r="E20" s="148"/>
      <c r="F20" s="113"/>
      <c r="G20" s="114" t="s">
        <v>334</v>
      </c>
    </row>
    <row r="21" spans="1:7" ht="42.75" x14ac:dyDescent="0.2">
      <c r="A21" s="144"/>
      <c r="B21" s="145"/>
      <c r="C21" s="114" t="s">
        <v>337</v>
      </c>
      <c r="D21" s="114" t="s">
        <v>338</v>
      </c>
      <c r="E21" s="149" t="s">
        <v>339</v>
      </c>
      <c r="F21" s="114" t="s">
        <v>340</v>
      </c>
      <c r="G21" s="114" t="s">
        <v>341</v>
      </c>
    </row>
    <row r="22" spans="1:7" ht="71.25" x14ac:dyDescent="0.2">
      <c r="A22" s="144"/>
      <c r="B22" s="145"/>
      <c r="C22" s="114" t="s">
        <v>342</v>
      </c>
      <c r="D22" s="114" t="s">
        <v>343</v>
      </c>
      <c r="E22" s="148" t="s">
        <v>344</v>
      </c>
      <c r="F22" s="113" t="s">
        <v>345</v>
      </c>
      <c r="G22" s="114"/>
    </row>
    <row r="23" spans="1:7" ht="85.5" x14ac:dyDescent="0.2">
      <c r="A23" s="144"/>
      <c r="B23" s="145"/>
      <c r="C23" s="114" t="s">
        <v>346</v>
      </c>
      <c r="D23" s="114" t="s">
        <v>347</v>
      </c>
      <c r="E23" s="148" t="s">
        <v>348</v>
      </c>
      <c r="F23" s="113" t="s">
        <v>349</v>
      </c>
      <c r="G23" s="114"/>
    </row>
    <row r="24" spans="1:7" x14ac:dyDescent="0.2">
      <c r="A24" s="144"/>
      <c r="B24" s="145" t="s">
        <v>3012</v>
      </c>
      <c r="C24" s="114" t="s">
        <v>350</v>
      </c>
      <c r="D24" s="114" t="s">
        <v>351</v>
      </c>
      <c r="E24" s="146" t="s">
        <v>352</v>
      </c>
      <c r="F24" s="150"/>
      <c r="G24" s="114" t="s">
        <v>3985</v>
      </c>
    </row>
    <row r="25" spans="1:7" x14ac:dyDescent="0.2">
      <c r="A25" s="144"/>
      <c r="B25" s="145" t="s">
        <v>3012</v>
      </c>
      <c r="C25" s="114" t="s">
        <v>353</v>
      </c>
      <c r="D25" s="114" t="s">
        <v>354</v>
      </c>
      <c r="E25" s="146" t="s">
        <v>355</v>
      </c>
      <c r="F25" s="114"/>
      <c r="G25" s="114"/>
    </row>
    <row r="26" spans="1:7" x14ac:dyDescent="0.2">
      <c r="A26" s="144"/>
      <c r="B26" s="145" t="s">
        <v>3012</v>
      </c>
      <c r="C26" s="114" t="s">
        <v>356</v>
      </c>
      <c r="D26" s="114" t="s">
        <v>357</v>
      </c>
      <c r="E26" s="146" t="s">
        <v>358</v>
      </c>
      <c r="F26" s="114"/>
      <c r="G26" s="114"/>
    </row>
    <row r="27" spans="1:7" ht="28.5" x14ac:dyDescent="0.2">
      <c r="A27" s="144"/>
      <c r="B27" s="145"/>
      <c r="C27" s="114" t="s">
        <v>359</v>
      </c>
      <c r="D27" s="114" t="s">
        <v>360</v>
      </c>
      <c r="E27" s="146" t="s">
        <v>361</v>
      </c>
      <c r="F27" s="114" t="s">
        <v>362</v>
      </c>
      <c r="G27" s="114" t="s">
        <v>363</v>
      </c>
    </row>
    <row r="28" spans="1:7" ht="114" x14ac:dyDescent="0.2">
      <c r="A28" s="144"/>
      <c r="B28" s="145"/>
      <c r="C28" s="114" t="s">
        <v>364</v>
      </c>
      <c r="D28" s="114" t="s">
        <v>365</v>
      </c>
      <c r="E28" s="146" t="s">
        <v>366</v>
      </c>
      <c r="F28" s="146" t="s">
        <v>367</v>
      </c>
      <c r="G28" s="114"/>
    </row>
    <row r="29" spans="1:7" ht="114" x14ac:dyDescent="0.2">
      <c r="A29" s="144"/>
      <c r="B29" s="145"/>
      <c r="C29" s="114" t="s">
        <v>368</v>
      </c>
      <c r="D29" s="114" t="s">
        <v>369</v>
      </c>
      <c r="E29" s="146" t="s">
        <v>370</v>
      </c>
      <c r="F29" s="114" t="s">
        <v>371</v>
      </c>
      <c r="G29" s="114"/>
    </row>
    <row r="30" spans="1:7" ht="85.5" x14ac:dyDescent="0.2">
      <c r="A30" s="144"/>
      <c r="B30" s="145"/>
      <c r="C30" s="114" t="s">
        <v>372</v>
      </c>
      <c r="D30" s="114" t="s">
        <v>373</v>
      </c>
      <c r="E30" s="146" t="s">
        <v>361</v>
      </c>
      <c r="F30" s="114" t="s">
        <v>374</v>
      </c>
      <c r="G30" s="114" t="s">
        <v>375</v>
      </c>
    </row>
    <row r="31" spans="1:7" ht="85.5" x14ac:dyDescent="0.2">
      <c r="A31" s="144"/>
      <c r="B31" s="145"/>
      <c r="C31" s="114" t="s">
        <v>376</v>
      </c>
      <c r="D31" s="114" t="s">
        <v>377</v>
      </c>
      <c r="E31" s="148" t="s">
        <v>378</v>
      </c>
      <c r="F31" s="151" t="s">
        <v>379</v>
      </c>
      <c r="G31" s="114"/>
    </row>
    <row r="32" spans="1:7" ht="57" x14ac:dyDescent="0.2">
      <c r="A32" s="144"/>
      <c r="B32" s="145"/>
      <c r="C32" s="114" t="s">
        <v>380</v>
      </c>
      <c r="D32" s="114" t="s">
        <v>381</v>
      </c>
      <c r="E32" s="113" t="s">
        <v>382</v>
      </c>
      <c r="F32" s="151" t="s">
        <v>383</v>
      </c>
      <c r="G32" s="151" t="s">
        <v>384</v>
      </c>
    </row>
    <row r="33" spans="1:7" ht="57" x14ac:dyDescent="0.2">
      <c r="A33" s="144"/>
      <c r="B33" s="145" t="s">
        <v>3012</v>
      </c>
      <c r="C33" s="114" t="s">
        <v>385</v>
      </c>
      <c r="D33" s="114" t="s">
        <v>25</v>
      </c>
      <c r="E33" s="113" t="s">
        <v>386</v>
      </c>
      <c r="F33" s="152" t="s">
        <v>387</v>
      </c>
      <c r="G33" s="152" t="s">
        <v>388</v>
      </c>
    </row>
    <row r="34" spans="1:7" ht="28.5" x14ac:dyDescent="0.2">
      <c r="A34" s="144"/>
      <c r="B34" s="145" t="s">
        <v>3012</v>
      </c>
      <c r="C34" s="114" t="s">
        <v>389</v>
      </c>
      <c r="D34" s="114" t="s">
        <v>27</v>
      </c>
      <c r="E34" s="146" t="s">
        <v>91</v>
      </c>
      <c r="F34" s="114" t="s">
        <v>390</v>
      </c>
      <c r="G34" s="114"/>
    </row>
    <row r="35" spans="1:7" ht="57" x14ac:dyDescent="0.2">
      <c r="A35" s="144"/>
      <c r="B35" s="145" t="s">
        <v>3012</v>
      </c>
      <c r="C35" s="114" t="s">
        <v>391</v>
      </c>
      <c r="D35" s="114" t="s">
        <v>392</v>
      </c>
      <c r="E35" s="146" t="s">
        <v>40</v>
      </c>
      <c r="F35" s="114" t="s">
        <v>393</v>
      </c>
      <c r="G35" s="114"/>
    </row>
    <row r="36" spans="1:7" ht="42.75" x14ac:dyDescent="0.2">
      <c r="A36" s="144"/>
      <c r="B36" s="145"/>
      <c r="C36" s="114" t="s">
        <v>394</v>
      </c>
      <c r="D36" s="114" t="s">
        <v>395</v>
      </c>
      <c r="E36" s="148" t="s">
        <v>396</v>
      </c>
      <c r="F36" s="113" t="s">
        <v>397</v>
      </c>
      <c r="G36" s="114"/>
    </row>
    <row r="37" spans="1:7" ht="28.5" x14ac:dyDescent="0.2">
      <c r="A37" s="144"/>
      <c r="B37" s="145" t="s">
        <v>3012</v>
      </c>
      <c r="C37" s="114" t="s">
        <v>398</v>
      </c>
      <c r="D37" s="114" t="s">
        <v>399</v>
      </c>
      <c r="E37" s="146" t="s">
        <v>91</v>
      </c>
      <c r="F37" s="114" t="s">
        <v>400</v>
      </c>
      <c r="G37" s="114"/>
    </row>
    <row r="38" spans="1:7" ht="57" x14ac:dyDescent="0.2">
      <c r="A38" s="144"/>
      <c r="B38" s="145"/>
      <c r="C38" s="114" t="s">
        <v>401</v>
      </c>
      <c r="D38" s="114" t="s">
        <v>402</v>
      </c>
      <c r="E38" s="148" t="s">
        <v>403</v>
      </c>
      <c r="F38" s="113" t="s">
        <v>404</v>
      </c>
      <c r="G38" s="114"/>
    </row>
    <row r="39" spans="1:7" ht="42.75" x14ac:dyDescent="0.2">
      <c r="A39" s="144"/>
      <c r="B39" s="145"/>
      <c r="C39" s="114" t="s">
        <v>405</v>
      </c>
      <c r="D39" s="114" t="s">
        <v>406</v>
      </c>
      <c r="E39" s="148" t="s">
        <v>407</v>
      </c>
      <c r="F39" s="113" t="s">
        <v>408</v>
      </c>
      <c r="G39" s="114" t="s">
        <v>409</v>
      </c>
    </row>
    <row r="40" spans="1:7" ht="42.75" x14ac:dyDescent="0.2">
      <c r="A40" s="144"/>
      <c r="B40" s="145" t="s">
        <v>3012</v>
      </c>
      <c r="C40" s="114" t="s">
        <v>410</v>
      </c>
      <c r="D40" s="114" t="s">
        <v>411</v>
      </c>
      <c r="E40" s="146" t="s">
        <v>412</v>
      </c>
      <c r="F40" s="114" t="s">
        <v>413</v>
      </c>
      <c r="G40" s="114" t="s">
        <v>414</v>
      </c>
    </row>
    <row r="41" spans="1:7" ht="42.75" x14ac:dyDescent="0.2">
      <c r="A41" s="144"/>
      <c r="B41" s="145"/>
      <c r="C41" s="114" t="s">
        <v>415</v>
      </c>
      <c r="D41" s="114" t="s">
        <v>416</v>
      </c>
      <c r="E41" s="146" t="s">
        <v>417</v>
      </c>
      <c r="F41" s="114" t="s">
        <v>418</v>
      </c>
      <c r="G41" s="114" t="s">
        <v>419</v>
      </c>
    </row>
    <row r="42" spans="1:7" ht="128.25" x14ac:dyDescent="0.2">
      <c r="A42" s="144"/>
      <c r="B42" s="145" t="s">
        <v>3012</v>
      </c>
      <c r="C42" s="114" t="s">
        <v>420</v>
      </c>
      <c r="D42" s="114" t="s">
        <v>421</v>
      </c>
      <c r="E42" s="148" t="s">
        <v>422</v>
      </c>
      <c r="F42" s="114" t="s">
        <v>423</v>
      </c>
      <c r="G42" s="114" t="s">
        <v>424</v>
      </c>
    </row>
    <row r="43" spans="1:7" ht="114" x14ac:dyDescent="0.2">
      <c r="A43" s="144"/>
      <c r="B43" s="145"/>
      <c r="C43" s="114" t="s">
        <v>425</v>
      </c>
      <c r="D43" s="114" t="s">
        <v>426</v>
      </c>
      <c r="E43" s="148" t="s">
        <v>427</v>
      </c>
      <c r="F43" s="113" t="s">
        <v>428</v>
      </c>
      <c r="G43" s="114"/>
    </row>
    <row r="44" spans="1:7" ht="71.25" x14ac:dyDescent="0.2">
      <c r="A44" s="144"/>
      <c r="B44" s="145"/>
      <c r="C44" s="114" t="s">
        <v>429</v>
      </c>
      <c r="D44" s="114" t="s">
        <v>44</v>
      </c>
      <c r="E44" s="148" t="s">
        <v>430</v>
      </c>
      <c r="F44" s="113" t="s">
        <v>431</v>
      </c>
      <c r="G44" s="114"/>
    </row>
    <row r="45" spans="1:7" ht="71.25" x14ac:dyDescent="0.2">
      <c r="A45" s="144"/>
      <c r="B45" s="145"/>
      <c r="C45" s="114" t="s">
        <v>432</v>
      </c>
      <c r="D45" s="114" t="s">
        <v>433</v>
      </c>
      <c r="E45" s="148" t="s">
        <v>434</v>
      </c>
      <c r="F45" s="113" t="s">
        <v>435</v>
      </c>
      <c r="G45" s="114"/>
    </row>
    <row r="46" spans="1:7" ht="57" x14ac:dyDescent="0.2">
      <c r="A46" s="144"/>
      <c r="B46" s="145"/>
      <c r="C46" s="114" t="s">
        <v>436</v>
      </c>
      <c r="D46" s="114" t="s">
        <v>437</v>
      </c>
      <c r="E46" s="148" t="s">
        <v>438</v>
      </c>
      <c r="F46" s="113" t="s">
        <v>439</v>
      </c>
      <c r="G46" s="114" t="s">
        <v>440</v>
      </c>
    </row>
    <row r="47" spans="1:7" ht="99.75" x14ac:dyDescent="0.2">
      <c r="A47" s="144"/>
      <c r="B47" s="145"/>
      <c r="C47" s="114" t="s">
        <v>441</v>
      </c>
      <c r="D47" s="114" t="s">
        <v>442</v>
      </c>
      <c r="E47" s="148" t="s">
        <v>443</v>
      </c>
      <c r="F47" s="113" t="s">
        <v>444</v>
      </c>
      <c r="G47" s="114" t="s">
        <v>445</v>
      </c>
    </row>
    <row r="48" spans="1:7" ht="57" x14ac:dyDescent="0.2">
      <c r="A48" s="144"/>
      <c r="B48" s="145"/>
      <c r="C48" s="114" t="s">
        <v>446</v>
      </c>
      <c r="D48" s="114" t="s">
        <v>447</v>
      </c>
      <c r="E48" s="148" t="s">
        <v>448</v>
      </c>
      <c r="F48" s="113" t="s">
        <v>449</v>
      </c>
      <c r="G48" s="114" t="s">
        <v>440</v>
      </c>
    </row>
    <row r="49" spans="1:7" ht="57" x14ac:dyDescent="0.2">
      <c r="A49" s="144"/>
      <c r="B49" s="145"/>
      <c r="C49" s="114" t="s">
        <v>450</v>
      </c>
      <c r="D49" s="114" t="s">
        <v>451</v>
      </c>
      <c r="E49" s="148" t="s">
        <v>448</v>
      </c>
      <c r="F49" s="113" t="s">
        <v>452</v>
      </c>
      <c r="G49" s="114" t="s">
        <v>440</v>
      </c>
    </row>
    <row r="50" spans="1:7" ht="57" x14ac:dyDescent="0.2">
      <c r="A50" s="144"/>
      <c r="B50" s="145"/>
      <c r="C50" s="114" t="s">
        <v>453</v>
      </c>
      <c r="D50" s="114" t="s">
        <v>454</v>
      </c>
      <c r="E50" s="148" t="s">
        <v>448</v>
      </c>
      <c r="F50" s="113" t="s">
        <v>452</v>
      </c>
      <c r="G50" s="114" t="s">
        <v>440</v>
      </c>
    </row>
    <row r="51" spans="1:7" ht="57" x14ac:dyDescent="0.2">
      <c r="A51" s="144"/>
      <c r="B51" s="145"/>
      <c r="C51" s="114" t="s">
        <v>455</v>
      </c>
      <c r="D51" s="114" t="s">
        <v>456</v>
      </c>
      <c r="E51" s="148" t="s">
        <v>448</v>
      </c>
      <c r="F51" s="113" t="s">
        <v>452</v>
      </c>
      <c r="G51" s="114" t="s">
        <v>440</v>
      </c>
    </row>
    <row r="52" spans="1:7" ht="57" x14ac:dyDescent="0.2">
      <c r="A52" s="144"/>
      <c r="B52" s="145"/>
      <c r="C52" s="114" t="s">
        <v>457</v>
      </c>
      <c r="D52" s="114" t="s">
        <v>458</v>
      </c>
      <c r="E52" s="148" t="s">
        <v>448</v>
      </c>
      <c r="F52" s="113" t="s">
        <v>452</v>
      </c>
      <c r="G52" s="114" t="s">
        <v>459</v>
      </c>
    </row>
    <row r="53" spans="1:7" ht="57" x14ac:dyDescent="0.2">
      <c r="A53" s="144"/>
      <c r="B53" s="145"/>
      <c r="C53" s="114" t="s">
        <v>460</v>
      </c>
      <c r="D53" s="114" t="s">
        <v>461</v>
      </c>
      <c r="E53" s="148" t="s">
        <v>448</v>
      </c>
      <c r="F53" s="113" t="s">
        <v>449</v>
      </c>
      <c r="G53" s="114" t="s">
        <v>440</v>
      </c>
    </row>
    <row r="54" spans="1:7" ht="42.75" x14ac:dyDescent="0.2">
      <c r="A54" s="144"/>
      <c r="B54" s="145"/>
      <c r="C54" s="114" t="s">
        <v>462</v>
      </c>
      <c r="D54" s="114" t="s">
        <v>463</v>
      </c>
      <c r="E54" s="148" t="s">
        <v>464</v>
      </c>
      <c r="F54" s="113" t="s">
        <v>465</v>
      </c>
      <c r="G54" s="114" t="s">
        <v>466</v>
      </c>
    </row>
    <row r="55" spans="1:7" ht="42.75" x14ac:dyDescent="0.2">
      <c r="A55" s="144"/>
      <c r="B55" s="145"/>
      <c r="C55" s="114" t="s">
        <v>467</v>
      </c>
      <c r="D55" s="114" t="s">
        <v>468</v>
      </c>
      <c r="E55" s="148" t="s">
        <v>464</v>
      </c>
      <c r="F55" s="113" t="s">
        <v>469</v>
      </c>
      <c r="G55" s="114" t="s">
        <v>470</v>
      </c>
    </row>
    <row r="56" spans="1:7" ht="71.25" x14ac:dyDescent="0.2">
      <c r="A56" s="144"/>
      <c r="B56" s="145"/>
      <c r="C56" s="114" t="s">
        <v>471</v>
      </c>
      <c r="D56" s="114" t="s">
        <v>472</v>
      </c>
      <c r="E56" s="148" t="s">
        <v>473</v>
      </c>
      <c r="F56" s="113" t="s">
        <v>474</v>
      </c>
      <c r="G56" s="114" t="s">
        <v>475</v>
      </c>
    </row>
    <row r="57" spans="1:7" ht="71.25" x14ac:dyDescent="0.2">
      <c r="A57" s="144"/>
      <c r="B57" s="145"/>
      <c r="C57" s="114" t="s">
        <v>476</v>
      </c>
      <c r="D57" s="114" t="s">
        <v>477</v>
      </c>
      <c r="E57" s="148" t="s">
        <v>473</v>
      </c>
      <c r="F57" s="113" t="s">
        <v>478</v>
      </c>
      <c r="G57" s="114" t="s">
        <v>479</v>
      </c>
    </row>
    <row r="58" spans="1:7" ht="327.75" x14ac:dyDescent="0.2">
      <c r="A58" s="144"/>
      <c r="B58" s="145"/>
      <c r="C58" s="114" t="s">
        <v>480</v>
      </c>
      <c r="D58" s="114" t="s">
        <v>481</v>
      </c>
      <c r="E58" s="148" t="s">
        <v>482</v>
      </c>
      <c r="F58" s="113" t="s">
        <v>483</v>
      </c>
      <c r="G58" s="114" t="s">
        <v>475</v>
      </c>
    </row>
    <row r="59" spans="1:7" ht="327.75" x14ac:dyDescent="0.2">
      <c r="A59" s="144"/>
      <c r="B59" s="145"/>
      <c r="C59" s="114" t="s">
        <v>484</v>
      </c>
      <c r="D59" s="114" t="s">
        <v>485</v>
      </c>
      <c r="E59" s="148" t="s">
        <v>482</v>
      </c>
      <c r="F59" s="113" t="s">
        <v>486</v>
      </c>
      <c r="G59" s="114" t="s">
        <v>487</v>
      </c>
    </row>
    <row r="60" spans="1:7" ht="57" x14ac:dyDescent="0.2">
      <c r="A60" s="144"/>
      <c r="B60" s="145"/>
      <c r="C60" s="114" t="s">
        <v>488</v>
      </c>
      <c r="D60" s="114" t="s">
        <v>489</v>
      </c>
      <c r="E60" s="148" t="s">
        <v>490</v>
      </c>
      <c r="F60" s="113" t="s">
        <v>491</v>
      </c>
      <c r="G60" s="114" t="s">
        <v>492</v>
      </c>
    </row>
    <row r="61" spans="1:7" ht="57" x14ac:dyDescent="0.2">
      <c r="A61" s="144"/>
      <c r="B61" s="145"/>
      <c r="C61" s="114" t="s">
        <v>493</v>
      </c>
      <c r="D61" s="114" t="s">
        <v>494</v>
      </c>
      <c r="E61" s="148" t="s">
        <v>490</v>
      </c>
      <c r="F61" s="113" t="s">
        <v>495</v>
      </c>
      <c r="G61" s="114" t="s">
        <v>496</v>
      </c>
    </row>
    <row r="62" spans="1:7" ht="28.5" x14ac:dyDescent="0.2">
      <c r="A62" s="144"/>
      <c r="B62" s="145"/>
      <c r="C62" s="114" t="s">
        <v>497</v>
      </c>
      <c r="D62" s="114" t="s">
        <v>498</v>
      </c>
      <c r="E62" s="148" t="s">
        <v>499</v>
      </c>
      <c r="F62" s="113" t="s">
        <v>500</v>
      </c>
      <c r="G62" s="114" t="s">
        <v>475</v>
      </c>
    </row>
    <row r="63" spans="1:7" ht="28.5" x14ac:dyDescent="0.2">
      <c r="A63" s="144"/>
      <c r="B63" s="145"/>
      <c r="C63" s="114" t="s">
        <v>501</v>
      </c>
      <c r="D63" s="114" t="s">
        <v>502</v>
      </c>
      <c r="E63" s="148" t="s">
        <v>499</v>
      </c>
      <c r="F63" s="113" t="s">
        <v>503</v>
      </c>
      <c r="G63" s="114" t="s">
        <v>479</v>
      </c>
    </row>
    <row r="64" spans="1:7" ht="28.5" x14ac:dyDescent="0.2">
      <c r="A64" s="144"/>
      <c r="B64" s="145"/>
      <c r="C64" s="114" t="s">
        <v>504</v>
      </c>
      <c r="D64" s="114" t="s">
        <v>505</v>
      </c>
      <c r="E64" s="148" t="s">
        <v>499</v>
      </c>
      <c r="F64" s="113" t="s">
        <v>506</v>
      </c>
      <c r="G64" s="114"/>
    </row>
    <row r="65" spans="1:7" ht="28.5" x14ac:dyDescent="0.2">
      <c r="A65" s="144"/>
      <c r="B65" s="145" t="s">
        <v>3012</v>
      </c>
      <c r="C65" s="114" t="s">
        <v>507</v>
      </c>
      <c r="D65" s="114" t="s">
        <v>508</v>
      </c>
      <c r="E65" s="146" t="s">
        <v>509</v>
      </c>
      <c r="F65" s="113" t="s">
        <v>510</v>
      </c>
      <c r="G65" s="114" t="s">
        <v>511</v>
      </c>
    </row>
    <row r="66" spans="1:7" ht="28.5" x14ac:dyDescent="0.2">
      <c r="A66" s="144"/>
      <c r="B66" s="145" t="s">
        <v>3012</v>
      </c>
      <c r="C66" s="114" t="s">
        <v>512</v>
      </c>
      <c r="D66" s="114" t="s">
        <v>513</v>
      </c>
      <c r="E66" s="146" t="s">
        <v>514</v>
      </c>
      <c r="F66" s="114" t="s">
        <v>515</v>
      </c>
      <c r="G66" s="114" t="s">
        <v>516</v>
      </c>
    </row>
    <row r="67" spans="1:7" ht="28.5" x14ac:dyDescent="0.2">
      <c r="A67" s="144"/>
      <c r="B67" s="145"/>
      <c r="C67" s="114" t="s">
        <v>517</v>
      </c>
      <c r="D67" s="114" t="s">
        <v>518</v>
      </c>
      <c r="E67" s="148" t="s">
        <v>519</v>
      </c>
      <c r="F67" s="113" t="s">
        <v>520</v>
      </c>
      <c r="G67" s="114" t="s">
        <v>521</v>
      </c>
    </row>
    <row r="68" spans="1:7" ht="28.5" x14ac:dyDescent="0.2">
      <c r="A68" s="144"/>
      <c r="B68" s="145"/>
      <c r="C68" s="114" t="s">
        <v>522</v>
      </c>
      <c r="D68" s="114" t="s">
        <v>523</v>
      </c>
      <c r="E68" s="148" t="s">
        <v>524</v>
      </c>
      <c r="F68" s="113" t="s">
        <v>525</v>
      </c>
      <c r="G68" s="114" t="s">
        <v>526</v>
      </c>
    </row>
    <row r="69" spans="1:7" ht="42.75" x14ac:dyDescent="0.2">
      <c r="A69" s="144"/>
      <c r="B69" s="145"/>
      <c r="C69" s="114" t="s">
        <v>527</v>
      </c>
      <c r="D69" s="114" t="s">
        <v>528</v>
      </c>
      <c r="E69" s="148" t="s">
        <v>529</v>
      </c>
      <c r="F69" s="113" t="s">
        <v>530</v>
      </c>
      <c r="G69" s="114"/>
    </row>
    <row r="70" spans="1:7" ht="42.75" x14ac:dyDescent="0.2">
      <c r="A70" s="144"/>
      <c r="B70" s="145"/>
      <c r="C70" s="114" t="s">
        <v>531</v>
      </c>
      <c r="D70" s="114" t="s">
        <v>532</v>
      </c>
      <c r="E70" s="148" t="s">
        <v>529</v>
      </c>
      <c r="F70" s="113" t="s">
        <v>530</v>
      </c>
      <c r="G70" s="114"/>
    </row>
    <row r="71" spans="1:7" ht="42.75" x14ac:dyDescent="0.2">
      <c r="A71" s="144"/>
      <c r="B71" s="145"/>
      <c r="C71" s="114" t="s">
        <v>533</v>
      </c>
      <c r="D71" s="114" t="s">
        <v>534</v>
      </c>
      <c r="E71" s="148" t="s">
        <v>529</v>
      </c>
      <c r="F71" s="113" t="s">
        <v>530</v>
      </c>
      <c r="G71" s="114"/>
    </row>
    <row r="72" spans="1:7" ht="42.75" x14ac:dyDescent="0.2">
      <c r="A72" s="144"/>
      <c r="B72" s="145"/>
      <c r="C72" s="114" t="s">
        <v>535</v>
      </c>
      <c r="D72" s="114" t="s">
        <v>536</v>
      </c>
      <c r="E72" s="148" t="s">
        <v>529</v>
      </c>
      <c r="F72" s="113" t="s">
        <v>530</v>
      </c>
      <c r="G72" s="114"/>
    </row>
    <row r="73" spans="1:7" ht="42.75" x14ac:dyDescent="0.2">
      <c r="A73" s="144"/>
      <c r="B73" s="145"/>
      <c r="C73" s="114" t="s">
        <v>537</v>
      </c>
      <c r="D73" s="114" t="s">
        <v>538</v>
      </c>
      <c r="E73" s="148" t="s">
        <v>529</v>
      </c>
      <c r="F73" s="113" t="s">
        <v>530</v>
      </c>
      <c r="G73" s="114"/>
    </row>
    <row r="74" spans="1:7" ht="42.75" x14ac:dyDescent="0.2">
      <c r="A74" s="144"/>
      <c r="B74" s="145"/>
      <c r="C74" s="114" t="s">
        <v>539</v>
      </c>
      <c r="D74" s="114" t="s">
        <v>540</v>
      </c>
      <c r="E74" s="148" t="s">
        <v>529</v>
      </c>
      <c r="F74" s="113" t="s">
        <v>530</v>
      </c>
      <c r="G74" s="114"/>
    </row>
    <row r="75" spans="1:7" ht="42.75" x14ac:dyDescent="0.2">
      <c r="A75" s="144"/>
      <c r="B75" s="145"/>
      <c r="C75" s="114" t="s">
        <v>541</v>
      </c>
      <c r="D75" s="114" t="s">
        <v>542</v>
      </c>
      <c r="E75" s="148" t="s">
        <v>529</v>
      </c>
      <c r="F75" s="113" t="s">
        <v>530</v>
      </c>
      <c r="G75" s="114"/>
    </row>
    <row r="76" spans="1:7" ht="42.75" x14ac:dyDescent="0.2">
      <c r="A76" s="144"/>
      <c r="B76" s="145"/>
      <c r="C76" s="114" t="s">
        <v>543</v>
      </c>
      <c r="D76" s="114" t="s">
        <v>544</v>
      </c>
      <c r="E76" s="148" t="s">
        <v>529</v>
      </c>
      <c r="F76" s="113" t="s">
        <v>530</v>
      </c>
      <c r="G76" s="114"/>
    </row>
    <row r="77" spans="1:7" ht="42.75" x14ac:dyDescent="0.2">
      <c r="A77" s="144"/>
      <c r="B77" s="145"/>
      <c r="C77" s="114" t="s">
        <v>545</v>
      </c>
      <c r="D77" s="114" t="s">
        <v>546</v>
      </c>
      <c r="E77" s="148" t="s">
        <v>529</v>
      </c>
      <c r="F77" s="113" t="s">
        <v>530</v>
      </c>
      <c r="G77" s="114"/>
    </row>
    <row r="78" spans="1:7" ht="57" x14ac:dyDescent="0.2">
      <c r="A78" s="144"/>
      <c r="B78" s="145"/>
      <c r="C78" s="114" t="s">
        <v>547</v>
      </c>
      <c r="D78" s="114" t="s">
        <v>548</v>
      </c>
      <c r="E78" s="148" t="s">
        <v>549</v>
      </c>
      <c r="F78" s="113" t="s">
        <v>550</v>
      </c>
      <c r="G78" s="114" t="s">
        <v>551</v>
      </c>
    </row>
    <row r="79" spans="1:7" ht="71.25" x14ac:dyDescent="0.2">
      <c r="A79" s="144"/>
      <c r="B79" s="145"/>
      <c r="C79" s="114" t="s">
        <v>552</v>
      </c>
      <c r="D79" s="114" t="s">
        <v>553</v>
      </c>
      <c r="E79" s="148" t="s">
        <v>438</v>
      </c>
      <c r="F79" s="113" t="s">
        <v>554</v>
      </c>
      <c r="G79" s="114"/>
    </row>
    <row r="80" spans="1:7" ht="71.25" x14ac:dyDescent="0.2">
      <c r="A80" s="144"/>
      <c r="B80" s="145"/>
      <c r="C80" s="114" t="s">
        <v>555</v>
      </c>
      <c r="D80" s="114" t="s">
        <v>556</v>
      </c>
      <c r="E80" s="148" t="s">
        <v>438</v>
      </c>
      <c r="F80" s="113" t="s">
        <v>554</v>
      </c>
      <c r="G80" s="114"/>
    </row>
    <row r="81" spans="1:7" ht="71.25" x14ac:dyDescent="0.2">
      <c r="A81" s="144"/>
      <c r="B81" s="145"/>
      <c r="C81" s="114" t="s">
        <v>557</v>
      </c>
      <c r="D81" s="114" t="s">
        <v>558</v>
      </c>
      <c r="E81" s="148" t="s">
        <v>438</v>
      </c>
      <c r="F81" s="113" t="s">
        <v>554</v>
      </c>
      <c r="G81" s="114"/>
    </row>
    <row r="82" spans="1:7" ht="71.25" x14ac:dyDescent="0.2">
      <c r="A82" s="144"/>
      <c r="B82" s="145"/>
      <c r="C82" s="114" t="s">
        <v>559</v>
      </c>
      <c r="D82" s="114" t="s">
        <v>560</v>
      </c>
      <c r="E82" s="148" t="s">
        <v>438</v>
      </c>
      <c r="F82" s="113" t="s">
        <v>554</v>
      </c>
      <c r="G82" s="114"/>
    </row>
    <row r="83" spans="1:7" ht="71.25" x14ac:dyDescent="0.2">
      <c r="A83" s="144"/>
      <c r="B83" s="145"/>
      <c r="C83" s="114" t="s">
        <v>561</v>
      </c>
      <c r="D83" s="114" t="s">
        <v>562</v>
      </c>
      <c r="E83" s="148" t="s">
        <v>438</v>
      </c>
      <c r="F83" s="113" t="s">
        <v>554</v>
      </c>
      <c r="G83" s="114"/>
    </row>
    <row r="84" spans="1:7" ht="71.25" x14ac:dyDescent="0.2">
      <c r="A84" s="144"/>
      <c r="B84" s="145"/>
      <c r="C84" s="114" t="s">
        <v>563</v>
      </c>
      <c r="D84" s="114" t="s">
        <v>564</v>
      </c>
      <c r="E84" s="148" t="s">
        <v>438</v>
      </c>
      <c r="F84" s="113" t="s">
        <v>554</v>
      </c>
      <c r="G84" s="114"/>
    </row>
    <row r="85" spans="1:7" ht="71.25" x14ac:dyDescent="0.2">
      <c r="A85" s="144"/>
      <c r="B85" s="145"/>
      <c r="C85" s="114" t="s">
        <v>565</v>
      </c>
      <c r="D85" s="114" t="s">
        <v>566</v>
      </c>
      <c r="E85" s="148" t="s">
        <v>438</v>
      </c>
      <c r="F85" s="113" t="s">
        <v>554</v>
      </c>
      <c r="G85" s="114"/>
    </row>
    <row r="86" spans="1:7" ht="71.25" x14ac:dyDescent="0.2">
      <c r="A86" s="144"/>
      <c r="B86" s="145"/>
      <c r="C86" s="114" t="s">
        <v>567</v>
      </c>
      <c r="D86" s="114" t="s">
        <v>568</v>
      </c>
      <c r="E86" s="148" t="s">
        <v>438</v>
      </c>
      <c r="F86" s="113" t="s">
        <v>554</v>
      </c>
      <c r="G86" s="114"/>
    </row>
    <row r="87" spans="1:7" ht="71.25" x14ac:dyDescent="0.2">
      <c r="A87" s="144"/>
      <c r="B87" s="145"/>
      <c r="C87" s="114" t="s">
        <v>569</v>
      </c>
      <c r="D87" s="114" t="s">
        <v>570</v>
      </c>
      <c r="E87" s="148" t="s">
        <v>438</v>
      </c>
      <c r="F87" s="113" t="s">
        <v>554</v>
      </c>
      <c r="G87" s="114"/>
    </row>
    <row r="88" spans="1:7" ht="228" x14ac:dyDescent="0.2">
      <c r="A88" s="144"/>
      <c r="B88" s="145" t="s">
        <v>3012</v>
      </c>
      <c r="C88" s="114" t="s">
        <v>571</v>
      </c>
      <c r="D88" s="114" t="s">
        <v>572</v>
      </c>
      <c r="E88" s="148" t="s">
        <v>573</v>
      </c>
      <c r="F88" s="120" t="s">
        <v>3013</v>
      </c>
      <c r="G88" s="114"/>
    </row>
    <row r="89" spans="1:7" ht="242.25" x14ac:dyDescent="0.2">
      <c r="A89" s="144"/>
      <c r="B89" s="145" t="s">
        <v>3012</v>
      </c>
      <c r="C89" s="114" t="s">
        <v>574</v>
      </c>
      <c r="D89" s="114" t="s">
        <v>575</v>
      </c>
      <c r="E89" s="148" t="s">
        <v>576</v>
      </c>
      <c r="F89" s="113" t="s">
        <v>3014</v>
      </c>
      <c r="G89" s="114" t="s">
        <v>577</v>
      </c>
    </row>
    <row r="90" spans="1:7" ht="57" x14ac:dyDescent="0.2">
      <c r="A90" s="144"/>
      <c r="B90" s="145"/>
      <c r="C90" s="114" t="s">
        <v>578</v>
      </c>
      <c r="D90" s="114" t="s">
        <v>579</v>
      </c>
      <c r="E90" s="148" t="s">
        <v>438</v>
      </c>
      <c r="F90" s="113" t="s">
        <v>580</v>
      </c>
      <c r="G90" s="114"/>
    </row>
    <row r="91" spans="1:7" ht="57" x14ac:dyDescent="0.2">
      <c r="A91" s="144"/>
      <c r="B91" s="145"/>
      <c r="C91" s="114" t="s">
        <v>581</v>
      </c>
      <c r="D91" s="114" t="s">
        <v>582</v>
      </c>
      <c r="E91" s="148" t="s">
        <v>438</v>
      </c>
      <c r="F91" s="113" t="s">
        <v>580</v>
      </c>
      <c r="G91" s="114"/>
    </row>
    <row r="92" spans="1:7" ht="57" x14ac:dyDescent="0.2">
      <c r="A92" s="144"/>
      <c r="B92" s="145"/>
      <c r="C92" s="114" t="s">
        <v>583</v>
      </c>
      <c r="D92" s="114" t="s">
        <v>584</v>
      </c>
      <c r="E92" s="148" t="s">
        <v>438</v>
      </c>
      <c r="F92" s="113" t="s">
        <v>580</v>
      </c>
      <c r="G92" s="114"/>
    </row>
    <row r="93" spans="1:7" ht="57" x14ac:dyDescent="0.2">
      <c r="A93" s="144"/>
      <c r="B93" s="145"/>
      <c r="C93" s="114" t="s">
        <v>585</v>
      </c>
      <c r="D93" s="114" t="s">
        <v>586</v>
      </c>
      <c r="E93" s="148" t="s">
        <v>438</v>
      </c>
      <c r="F93" s="113" t="s">
        <v>580</v>
      </c>
      <c r="G93" s="114"/>
    </row>
    <row r="94" spans="1:7" ht="57" x14ac:dyDescent="0.2">
      <c r="A94" s="144"/>
      <c r="B94" s="145"/>
      <c r="C94" s="114" t="s">
        <v>587</v>
      </c>
      <c r="D94" s="114" t="s">
        <v>588</v>
      </c>
      <c r="E94" s="148" t="s">
        <v>438</v>
      </c>
      <c r="F94" s="113" t="s">
        <v>580</v>
      </c>
      <c r="G94" s="114"/>
    </row>
    <row r="95" spans="1:7" ht="57" x14ac:dyDescent="0.2">
      <c r="A95" s="144"/>
      <c r="B95" s="145"/>
      <c r="C95" s="114" t="s">
        <v>589</v>
      </c>
      <c r="D95" s="114" t="s">
        <v>590</v>
      </c>
      <c r="E95" s="148" t="s">
        <v>438</v>
      </c>
      <c r="F95" s="113" t="s">
        <v>580</v>
      </c>
      <c r="G95" s="114"/>
    </row>
    <row r="96" spans="1:7" ht="57" x14ac:dyDescent="0.2">
      <c r="A96" s="144"/>
      <c r="B96" s="145"/>
      <c r="C96" s="114" t="s">
        <v>591</v>
      </c>
      <c r="D96" s="114" t="s">
        <v>592</v>
      </c>
      <c r="E96" s="148" t="s">
        <v>438</v>
      </c>
      <c r="F96" s="113" t="s">
        <v>580</v>
      </c>
      <c r="G96" s="114"/>
    </row>
    <row r="97" spans="1:7" ht="57" x14ac:dyDescent="0.2">
      <c r="A97" s="144"/>
      <c r="B97" s="145"/>
      <c r="C97" s="114" t="s">
        <v>593</v>
      </c>
      <c r="D97" s="114" t="s">
        <v>594</v>
      </c>
      <c r="E97" s="148" t="s">
        <v>438</v>
      </c>
      <c r="F97" s="113" t="s">
        <v>580</v>
      </c>
      <c r="G97" s="114"/>
    </row>
    <row r="98" spans="1:7" ht="57" x14ac:dyDescent="0.2">
      <c r="A98" s="144"/>
      <c r="B98" s="145"/>
      <c r="C98" s="114" t="s">
        <v>595</v>
      </c>
      <c r="D98" s="114" t="s">
        <v>596</v>
      </c>
      <c r="E98" s="148" t="s">
        <v>438</v>
      </c>
      <c r="F98" s="113" t="s">
        <v>597</v>
      </c>
      <c r="G98" s="114"/>
    </row>
    <row r="99" spans="1:7" ht="57" x14ac:dyDescent="0.2">
      <c r="A99" s="144"/>
      <c r="B99" s="145"/>
      <c r="C99" s="114" t="s">
        <v>598</v>
      </c>
      <c r="D99" s="114" t="s">
        <v>599</v>
      </c>
      <c r="E99" s="148" t="s">
        <v>438</v>
      </c>
      <c r="F99" s="113" t="s">
        <v>597</v>
      </c>
      <c r="G99" s="114"/>
    </row>
    <row r="100" spans="1:7" ht="228" x14ac:dyDescent="0.2">
      <c r="A100" s="144"/>
      <c r="B100" s="145"/>
      <c r="C100" s="114" t="s">
        <v>600</v>
      </c>
      <c r="D100" s="114" t="s">
        <v>601</v>
      </c>
      <c r="E100" s="148" t="s">
        <v>602</v>
      </c>
      <c r="F100" s="120" t="s">
        <v>3015</v>
      </c>
      <c r="G100" s="114" t="s">
        <v>3986</v>
      </c>
    </row>
    <row r="101" spans="1:7" ht="171" x14ac:dyDescent="0.2">
      <c r="A101" s="144"/>
      <c r="B101" s="145"/>
      <c r="C101" s="114" t="s">
        <v>603</v>
      </c>
      <c r="D101" s="114" t="s">
        <v>604</v>
      </c>
      <c r="E101" s="148" t="s">
        <v>605</v>
      </c>
      <c r="F101" s="120" t="s">
        <v>3016</v>
      </c>
      <c r="G101" s="114"/>
    </row>
    <row r="102" spans="1:7" ht="142.5" x14ac:dyDescent="0.2">
      <c r="A102" s="144"/>
      <c r="B102" s="145"/>
      <c r="C102" s="114" t="s">
        <v>606</v>
      </c>
      <c r="D102" s="114" t="s">
        <v>607</v>
      </c>
      <c r="E102" s="148" t="s">
        <v>608</v>
      </c>
      <c r="F102" s="113" t="s">
        <v>609</v>
      </c>
      <c r="G102" s="114"/>
    </row>
    <row r="103" spans="1:7" ht="28.5" x14ac:dyDescent="0.2">
      <c r="A103" s="144"/>
      <c r="B103" s="145"/>
      <c r="C103" s="114" t="s">
        <v>610</v>
      </c>
      <c r="D103" s="114" t="s">
        <v>611</v>
      </c>
      <c r="E103" s="148" t="s">
        <v>612</v>
      </c>
      <c r="F103" s="113" t="s">
        <v>613</v>
      </c>
      <c r="G103" s="114" t="s">
        <v>614</v>
      </c>
    </row>
    <row r="104" spans="1:7" ht="57" x14ac:dyDescent="0.2">
      <c r="A104" s="144"/>
      <c r="B104" s="145"/>
      <c r="C104" s="114" t="s">
        <v>615</v>
      </c>
      <c r="D104" s="114" t="s">
        <v>616</v>
      </c>
      <c r="E104" s="148" t="s">
        <v>617</v>
      </c>
      <c r="F104" s="114" t="s">
        <v>618</v>
      </c>
      <c r="G104" s="114" t="s">
        <v>619</v>
      </c>
    </row>
    <row r="105" spans="1:7" ht="57" x14ac:dyDescent="0.2">
      <c r="A105" s="144"/>
      <c r="B105" s="145"/>
      <c r="C105" s="113" t="s">
        <v>620</v>
      </c>
      <c r="D105" s="113" t="s">
        <v>621</v>
      </c>
      <c r="E105" s="148" t="s">
        <v>40</v>
      </c>
      <c r="F105" s="113" t="s">
        <v>622</v>
      </c>
      <c r="G105" s="113"/>
    </row>
    <row r="106" spans="1:7" ht="42.75" x14ac:dyDescent="0.2">
      <c r="A106" s="144"/>
      <c r="B106" s="145"/>
      <c r="C106" s="114" t="s">
        <v>623</v>
      </c>
      <c r="D106" s="114" t="s">
        <v>624</v>
      </c>
      <c r="E106" s="148" t="s">
        <v>625</v>
      </c>
      <c r="F106" s="113" t="s">
        <v>626</v>
      </c>
      <c r="G106" s="114"/>
    </row>
    <row r="107" spans="1:7" ht="42.75" x14ac:dyDescent="0.2">
      <c r="A107" s="144"/>
      <c r="B107" s="145"/>
      <c r="C107" s="114" t="s">
        <v>627</v>
      </c>
      <c r="D107" s="114" t="s">
        <v>628</v>
      </c>
      <c r="E107" s="148" t="s">
        <v>625</v>
      </c>
      <c r="F107" s="113" t="s">
        <v>626</v>
      </c>
      <c r="G107" s="114"/>
    </row>
    <row r="108" spans="1:7" ht="42.75" x14ac:dyDescent="0.2">
      <c r="A108" s="144"/>
      <c r="B108" s="145"/>
      <c r="C108" s="114" t="s">
        <v>629</v>
      </c>
      <c r="D108" s="114" t="s">
        <v>630</v>
      </c>
      <c r="E108" s="148" t="s">
        <v>625</v>
      </c>
      <c r="F108" s="113" t="s">
        <v>626</v>
      </c>
      <c r="G108" s="114"/>
    </row>
    <row r="109" spans="1:7" ht="42.75" x14ac:dyDescent="0.2">
      <c r="A109" s="144"/>
      <c r="B109" s="145"/>
      <c r="C109" s="114" t="s">
        <v>631</v>
      </c>
      <c r="D109" s="114" t="s">
        <v>632</v>
      </c>
      <c r="E109" s="148" t="s">
        <v>625</v>
      </c>
      <c r="F109" s="113" t="s">
        <v>626</v>
      </c>
      <c r="G109" s="114"/>
    </row>
    <row r="110" spans="1:7" ht="42.75" x14ac:dyDescent="0.2">
      <c r="A110" s="144"/>
      <c r="B110" s="145"/>
      <c r="C110" s="114" t="s">
        <v>633</v>
      </c>
      <c r="D110" s="114" t="s">
        <v>634</v>
      </c>
      <c r="E110" s="148" t="s">
        <v>625</v>
      </c>
      <c r="F110" s="113" t="s">
        <v>626</v>
      </c>
      <c r="G110" s="114"/>
    </row>
    <row r="111" spans="1:7" ht="42.75" x14ac:dyDescent="0.2">
      <c r="A111" s="144"/>
      <c r="B111" s="145"/>
      <c r="C111" s="114" t="s">
        <v>635</v>
      </c>
      <c r="D111" s="114" t="s">
        <v>636</v>
      </c>
      <c r="E111" s="148" t="s">
        <v>625</v>
      </c>
      <c r="F111" s="113" t="s">
        <v>626</v>
      </c>
      <c r="G111" s="114"/>
    </row>
    <row r="112" spans="1:7" ht="42.75" x14ac:dyDescent="0.2">
      <c r="A112" s="144"/>
      <c r="B112" s="145"/>
      <c r="C112" s="114" t="s">
        <v>637</v>
      </c>
      <c r="D112" s="114" t="s">
        <v>638</v>
      </c>
      <c r="E112" s="148" t="s">
        <v>625</v>
      </c>
      <c r="F112" s="113" t="s">
        <v>626</v>
      </c>
      <c r="G112" s="114"/>
    </row>
    <row r="113" spans="1:7" ht="42.75" x14ac:dyDescent="0.2">
      <c r="A113" s="144"/>
      <c r="B113" s="145"/>
      <c r="C113" s="114" t="s">
        <v>639</v>
      </c>
      <c r="D113" s="114" t="s">
        <v>640</v>
      </c>
      <c r="E113" s="148" t="s">
        <v>625</v>
      </c>
      <c r="F113" s="113" t="s">
        <v>626</v>
      </c>
      <c r="G113" s="114"/>
    </row>
    <row r="114" spans="1:7" ht="42.75" x14ac:dyDescent="0.2">
      <c r="A114" s="144"/>
      <c r="B114" s="145"/>
      <c r="C114" s="114" t="s">
        <v>641</v>
      </c>
      <c r="D114" s="114" t="s">
        <v>642</v>
      </c>
      <c r="E114" s="148" t="s">
        <v>625</v>
      </c>
      <c r="F114" s="113" t="s">
        <v>626</v>
      </c>
      <c r="G114" s="114"/>
    </row>
    <row r="115" spans="1:7" ht="42.75" x14ac:dyDescent="0.2">
      <c r="A115" s="144"/>
      <c r="B115" s="145"/>
      <c r="C115" s="114" t="s">
        <v>643</v>
      </c>
      <c r="D115" s="114" t="s">
        <v>644</v>
      </c>
      <c r="E115" s="148" t="s">
        <v>625</v>
      </c>
      <c r="F115" s="113" t="s">
        <v>626</v>
      </c>
      <c r="G115" s="114"/>
    </row>
    <row r="116" spans="1:7" ht="57" x14ac:dyDescent="0.2">
      <c r="A116" s="144"/>
      <c r="B116" s="145"/>
      <c r="C116" s="114" t="s">
        <v>645</v>
      </c>
      <c r="D116" s="114" t="s">
        <v>646</v>
      </c>
      <c r="E116" s="148" t="s">
        <v>438</v>
      </c>
      <c r="F116" s="113" t="s">
        <v>647</v>
      </c>
      <c r="G116" s="114"/>
    </row>
    <row r="117" spans="1:7" ht="57" x14ac:dyDescent="0.2">
      <c r="A117" s="144"/>
      <c r="B117" s="145"/>
      <c r="C117" s="114" t="s">
        <v>648</v>
      </c>
      <c r="D117" s="114" t="s">
        <v>649</v>
      </c>
      <c r="E117" s="148" t="s">
        <v>438</v>
      </c>
      <c r="F117" s="113" t="s">
        <v>647</v>
      </c>
      <c r="G117" s="114"/>
    </row>
    <row r="118" spans="1:7" ht="57" x14ac:dyDescent="0.2">
      <c r="A118" s="144"/>
      <c r="B118" s="145"/>
      <c r="C118" s="114" t="s">
        <v>650</v>
      </c>
      <c r="D118" s="114" t="s">
        <v>651</v>
      </c>
      <c r="E118" s="148" t="s">
        <v>652</v>
      </c>
      <c r="F118" s="113" t="s">
        <v>653</v>
      </c>
      <c r="G118" s="114" t="s">
        <v>654</v>
      </c>
    </row>
    <row r="119" spans="1:7" ht="57" x14ac:dyDescent="0.2">
      <c r="A119" s="144"/>
      <c r="B119" s="145"/>
      <c r="C119" s="114" t="s">
        <v>655</v>
      </c>
      <c r="D119" s="114" t="s">
        <v>656</v>
      </c>
      <c r="E119" s="148" t="s">
        <v>657</v>
      </c>
      <c r="F119" s="113" t="s">
        <v>658</v>
      </c>
      <c r="G119" s="114" t="s">
        <v>659</v>
      </c>
    </row>
    <row r="120" spans="1:7" ht="57" x14ac:dyDescent="0.2">
      <c r="A120" s="144"/>
      <c r="B120" s="145"/>
      <c r="C120" s="114" t="s">
        <v>660</v>
      </c>
      <c r="D120" s="114" t="s">
        <v>661</v>
      </c>
      <c r="E120" s="148" t="s">
        <v>662</v>
      </c>
      <c r="F120" s="113" t="s">
        <v>663</v>
      </c>
      <c r="G120" s="114" t="s">
        <v>664</v>
      </c>
    </row>
    <row r="121" spans="1:7" ht="57" x14ac:dyDescent="0.2">
      <c r="A121" s="144"/>
      <c r="B121" s="145"/>
      <c r="C121" s="114" t="s">
        <v>665</v>
      </c>
      <c r="D121" s="114" t="s">
        <v>666</v>
      </c>
      <c r="E121" s="148" t="s">
        <v>657</v>
      </c>
      <c r="F121" s="113" t="s">
        <v>658</v>
      </c>
      <c r="G121" s="114" t="s">
        <v>667</v>
      </c>
    </row>
    <row r="122" spans="1:7" ht="57" x14ac:dyDescent="0.2">
      <c r="A122" s="144"/>
      <c r="B122" s="145"/>
      <c r="C122" s="114" t="s">
        <v>668</v>
      </c>
      <c r="D122" s="114" t="s">
        <v>669</v>
      </c>
      <c r="E122" s="148" t="s">
        <v>657</v>
      </c>
      <c r="F122" s="113" t="s">
        <v>658</v>
      </c>
      <c r="G122" s="114" t="s">
        <v>670</v>
      </c>
    </row>
    <row r="123" spans="1:7" ht="57" x14ac:dyDescent="0.2">
      <c r="A123" s="144"/>
      <c r="B123" s="145"/>
      <c r="C123" s="114" t="s">
        <v>671</v>
      </c>
      <c r="D123" s="114" t="s">
        <v>672</v>
      </c>
      <c r="E123" s="148" t="s">
        <v>657</v>
      </c>
      <c r="F123" s="113" t="s">
        <v>658</v>
      </c>
      <c r="G123" s="114" t="s">
        <v>670</v>
      </c>
    </row>
    <row r="124" spans="1:7" ht="85.5" x14ac:dyDescent="0.2">
      <c r="A124" s="144"/>
      <c r="B124" s="145"/>
      <c r="C124" s="114" t="s">
        <v>673</v>
      </c>
      <c r="D124" s="114" t="s">
        <v>674</v>
      </c>
      <c r="E124" s="113" t="s">
        <v>675</v>
      </c>
      <c r="F124" s="113" t="s">
        <v>676</v>
      </c>
      <c r="G124" s="114" t="s">
        <v>677</v>
      </c>
    </row>
    <row r="125" spans="1:7" ht="71.25" x14ac:dyDescent="0.2">
      <c r="A125" s="144"/>
      <c r="B125" s="145"/>
      <c r="C125" s="114" t="s">
        <v>678</v>
      </c>
      <c r="D125" s="114" t="s">
        <v>679</v>
      </c>
      <c r="E125" s="113" t="s">
        <v>680</v>
      </c>
      <c r="F125" s="113" t="s">
        <v>681</v>
      </c>
      <c r="G125" s="114" t="s">
        <v>682</v>
      </c>
    </row>
    <row r="126" spans="1:7" ht="71.25" x14ac:dyDescent="0.2">
      <c r="A126" s="144"/>
      <c r="B126" s="145"/>
      <c r="C126" s="114" t="s">
        <v>683</v>
      </c>
      <c r="D126" s="114" t="s">
        <v>684</v>
      </c>
      <c r="E126" s="148" t="s">
        <v>685</v>
      </c>
      <c r="F126" s="113" t="s">
        <v>686</v>
      </c>
      <c r="G126" s="114" t="s">
        <v>687</v>
      </c>
    </row>
    <row r="127" spans="1:7" ht="28.5" x14ac:dyDescent="0.2">
      <c r="A127" s="144"/>
      <c r="B127" s="145" t="s">
        <v>3012</v>
      </c>
      <c r="C127" s="114" t="s">
        <v>688</v>
      </c>
      <c r="D127" s="114" t="s">
        <v>689</v>
      </c>
      <c r="E127" s="148" t="s">
        <v>690</v>
      </c>
      <c r="F127" s="113" t="s">
        <v>691</v>
      </c>
      <c r="G127" s="114" t="s">
        <v>692</v>
      </c>
    </row>
    <row r="128" spans="1:7" ht="28.5" x14ac:dyDescent="0.2">
      <c r="A128" s="144"/>
      <c r="B128" s="145"/>
      <c r="C128" s="114" t="s">
        <v>693</v>
      </c>
      <c r="D128" s="114" t="s">
        <v>694</v>
      </c>
      <c r="E128" s="148" t="s">
        <v>695</v>
      </c>
      <c r="F128" s="113"/>
      <c r="G128" s="114" t="s">
        <v>696</v>
      </c>
    </row>
    <row r="129" spans="1:7" x14ac:dyDescent="0.2">
      <c r="A129" s="144"/>
      <c r="B129" s="145"/>
      <c r="C129" s="114" t="s">
        <v>697</v>
      </c>
      <c r="D129" s="114" t="s">
        <v>698</v>
      </c>
      <c r="E129" s="148" t="s">
        <v>699</v>
      </c>
      <c r="F129" s="113"/>
      <c r="G129" s="114" t="s">
        <v>696</v>
      </c>
    </row>
    <row r="130" spans="1:7" ht="171" x14ac:dyDescent="0.2">
      <c r="A130" s="144"/>
      <c r="B130" s="145"/>
      <c r="C130" s="114" t="s">
        <v>700</v>
      </c>
      <c r="D130" s="114" t="s">
        <v>701</v>
      </c>
      <c r="E130" s="148" t="s">
        <v>702</v>
      </c>
      <c r="F130" s="113" t="s">
        <v>703</v>
      </c>
      <c r="G130" s="114" t="s">
        <v>704</v>
      </c>
    </row>
    <row r="131" spans="1:7" ht="57" x14ac:dyDescent="0.2">
      <c r="A131" s="144"/>
      <c r="B131" s="145"/>
      <c r="C131" s="114" t="s">
        <v>705</v>
      </c>
      <c r="D131" s="114" t="s">
        <v>706</v>
      </c>
      <c r="E131" s="148" t="s">
        <v>707</v>
      </c>
      <c r="F131" s="113" t="s">
        <v>708</v>
      </c>
      <c r="G131" s="114" t="s">
        <v>709</v>
      </c>
    </row>
    <row r="132" spans="1:7" ht="71.25" x14ac:dyDescent="0.2">
      <c r="A132" s="144"/>
      <c r="B132" s="145"/>
      <c r="C132" s="114" t="s">
        <v>710</v>
      </c>
      <c r="D132" s="114" t="s">
        <v>711</v>
      </c>
      <c r="E132" s="148" t="s">
        <v>712</v>
      </c>
      <c r="F132" s="113" t="s">
        <v>713</v>
      </c>
      <c r="G132" s="114" t="s">
        <v>714</v>
      </c>
    </row>
    <row r="133" spans="1:7" ht="42.75" x14ac:dyDescent="0.2">
      <c r="A133" s="144"/>
      <c r="B133" s="145"/>
      <c r="C133" s="114" t="s">
        <v>715</v>
      </c>
      <c r="D133" s="114" t="s">
        <v>716</v>
      </c>
      <c r="E133" s="148" t="s">
        <v>326</v>
      </c>
      <c r="F133" s="113" t="s">
        <v>4353</v>
      </c>
      <c r="G133" s="114" t="s">
        <v>328</v>
      </c>
    </row>
    <row r="134" spans="1:7" x14ac:dyDescent="0.2">
      <c r="A134" s="144"/>
      <c r="B134" s="145"/>
      <c r="C134" s="114" t="s">
        <v>717</v>
      </c>
      <c r="D134" s="114" t="s">
        <v>718</v>
      </c>
      <c r="E134" s="148"/>
      <c r="F134" s="113"/>
      <c r="G134" s="114" t="s">
        <v>331</v>
      </c>
    </row>
    <row r="135" spans="1:7" x14ac:dyDescent="0.2">
      <c r="A135" s="144"/>
      <c r="B135" s="145"/>
      <c r="C135" s="114" t="s">
        <v>719</v>
      </c>
      <c r="D135" s="114" t="s">
        <v>720</v>
      </c>
      <c r="E135" s="148"/>
      <c r="F135" s="113"/>
      <c r="G135" s="114" t="s">
        <v>334</v>
      </c>
    </row>
    <row r="136" spans="1:7" x14ac:dyDescent="0.2">
      <c r="A136" s="144"/>
      <c r="B136" s="145"/>
      <c r="C136" s="114" t="s">
        <v>721</v>
      </c>
      <c r="D136" s="114" t="s">
        <v>722</v>
      </c>
      <c r="E136" s="148"/>
      <c r="F136" s="113"/>
      <c r="G136" s="114" t="s">
        <v>334</v>
      </c>
    </row>
    <row r="137" spans="1:7" ht="99.75" x14ac:dyDescent="0.2">
      <c r="A137" s="144"/>
      <c r="B137" s="145"/>
      <c r="C137" s="114" t="s">
        <v>723</v>
      </c>
      <c r="D137" s="114" t="s">
        <v>724</v>
      </c>
      <c r="E137" s="148" t="s">
        <v>725</v>
      </c>
      <c r="F137" s="113" t="s">
        <v>726</v>
      </c>
      <c r="G137" s="114"/>
    </row>
    <row r="138" spans="1:7" ht="28.5" x14ac:dyDescent="0.2">
      <c r="A138" s="144"/>
      <c r="B138" s="145"/>
      <c r="C138" s="114" t="s">
        <v>727</v>
      </c>
      <c r="D138" s="114" t="s">
        <v>728</v>
      </c>
      <c r="E138" s="148" t="s">
        <v>729</v>
      </c>
      <c r="F138" s="113"/>
      <c r="G138" s="114" t="s">
        <v>696</v>
      </c>
    </row>
    <row r="139" spans="1:7" ht="85.5" x14ac:dyDescent="0.2">
      <c r="A139" s="144"/>
      <c r="B139" s="145"/>
      <c r="C139" s="114" t="s">
        <v>730</v>
      </c>
      <c r="D139" s="114" t="s">
        <v>731</v>
      </c>
      <c r="E139" s="148" t="s">
        <v>732</v>
      </c>
      <c r="F139" s="113" t="s">
        <v>733</v>
      </c>
      <c r="G139" s="114"/>
    </row>
    <row r="140" spans="1:7" ht="85.5" x14ac:dyDescent="0.2">
      <c r="A140" s="144"/>
      <c r="B140" s="145"/>
      <c r="C140" s="114" t="s">
        <v>734</v>
      </c>
      <c r="D140" s="114" t="s">
        <v>735</v>
      </c>
      <c r="E140" s="148" t="s">
        <v>736</v>
      </c>
      <c r="F140" s="113" t="s">
        <v>737</v>
      </c>
      <c r="G140" s="114" t="s">
        <v>738</v>
      </c>
    </row>
    <row r="141" spans="1:7" ht="171" x14ac:dyDescent="0.2">
      <c r="A141" s="144"/>
      <c r="B141" s="145"/>
      <c r="C141" s="114" t="s">
        <v>739</v>
      </c>
      <c r="D141" s="114" t="s">
        <v>740</v>
      </c>
      <c r="E141" s="148" t="s">
        <v>741</v>
      </c>
      <c r="F141" s="113" t="s">
        <v>742</v>
      </c>
      <c r="G141" s="114"/>
    </row>
    <row r="142" spans="1:7" ht="99.75" x14ac:dyDescent="0.2">
      <c r="A142" s="144"/>
      <c r="B142" s="145"/>
      <c r="C142" s="114" t="s">
        <v>743</v>
      </c>
      <c r="D142" s="114" t="s">
        <v>744</v>
      </c>
      <c r="E142" s="148" t="s">
        <v>745</v>
      </c>
      <c r="F142" s="113" t="s">
        <v>746</v>
      </c>
      <c r="G142" s="114"/>
    </row>
    <row r="143" spans="1:7" ht="85.5" x14ac:dyDescent="0.2">
      <c r="A143" s="144"/>
      <c r="B143" s="145"/>
      <c r="C143" s="114" t="s">
        <v>747</v>
      </c>
      <c r="D143" s="114" t="s">
        <v>748</v>
      </c>
      <c r="E143" s="148" t="s">
        <v>749</v>
      </c>
      <c r="F143" s="113" t="s">
        <v>750</v>
      </c>
      <c r="G143" s="114" t="s">
        <v>751</v>
      </c>
    </row>
    <row r="144" spans="1:7" ht="28.5" x14ac:dyDescent="0.2">
      <c r="A144" s="144"/>
      <c r="B144" s="145"/>
      <c r="C144" s="114" t="s">
        <v>752</v>
      </c>
      <c r="D144" s="114" t="s">
        <v>753</v>
      </c>
      <c r="E144" s="148" t="s">
        <v>754</v>
      </c>
      <c r="F144" s="113"/>
      <c r="G144" s="114" t="s">
        <v>696</v>
      </c>
    </row>
    <row r="145" spans="1:7" ht="99.75" x14ac:dyDescent="0.2">
      <c r="A145" s="144"/>
      <c r="B145" s="145"/>
      <c r="C145" s="114" t="s">
        <v>755</v>
      </c>
      <c r="D145" s="114" t="s">
        <v>756</v>
      </c>
      <c r="E145" s="148" t="s">
        <v>757</v>
      </c>
      <c r="F145" s="113" t="s">
        <v>758</v>
      </c>
      <c r="G145" s="114"/>
    </row>
    <row r="146" spans="1:7" ht="99.75" x14ac:dyDescent="0.2">
      <c r="A146" s="144"/>
      <c r="B146" s="145"/>
      <c r="C146" s="114" t="s">
        <v>759</v>
      </c>
      <c r="D146" s="114" t="s">
        <v>760</v>
      </c>
      <c r="E146" s="148" t="s">
        <v>757</v>
      </c>
      <c r="F146" s="113" t="s">
        <v>758</v>
      </c>
      <c r="G146" s="114"/>
    </row>
    <row r="147" spans="1:7" ht="99.75" x14ac:dyDescent="0.2">
      <c r="A147" s="144"/>
      <c r="B147" s="145"/>
      <c r="C147" s="114" t="s">
        <v>761</v>
      </c>
      <c r="D147" s="114" t="s">
        <v>762</v>
      </c>
      <c r="E147" s="148" t="s">
        <v>757</v>
      </c>
      <c r="F147" s="113" t="s">
        <v>758</v>
      </c>
      <c r="G147" s="114"/>
    </row>
    <row r="148" spans="1:7" ht="99.75" x14ac:dyDescent="0.2">
      <c r="A148" s="144"/>
      <c r="B148" s="145"/>
      <c r="C148" s="114" t="s">
        <v>763</v>
      </c>
      <c r="D148" s="114" t="s">
        <v>764</v>
      </c>
      <c r="E148" s="148" t="s">
        <v>757</v>
      </c>
      <c r="F148" s="113" t="s">
        <v>758</v>
      </c>
      <c r="G148" s="114"/>
    </row>
    <row r="149" spans="1:7" ht="99.75" x14ac:dyDescent="0.2">
      <c r="A149" s="144"/>
      <c r="B149" s="145"/>
      <c r="C149" s="114" t="s">
        <v>765</v>
      </c>
      <c r="D149" s="114" t="s">
        <v>766</v>
      </c>
      <c r="E149" s="148" t="s">
        <v>757</v>
      </c>
      <c r="F149" s="113" t="s">
        <v>758</v>
      </c>
      <c r="G149" s="114"/>
    </row>
    <row r="150" spans="1:7" ht="99.75" x14ac:dyDescent="0.2">
      <c r="A150" s="144"/>
      <c r="B150" s="145"/>
      <c r="C150" s="114" t="s">
        <v>767</v>
      </c>
      <c r="D150" s="114" t="s">
        <v>768</v>
      </c>
      <c r="E150" s="148" t="s">
        <v>757</v>
      </c>
      <c r="F150" s="113" t="s">
        <v>758</v>
      </c>
      <c r="G150" s="114"/>
    </row>
    <row r="151" spans="1:7" ht="99.75" x14ac:dyDescent="0.2">
      <c r="A151" s="144"/>
      <c r="B151" s="145"/>
      <c r="C151" s="114" t="s">
        <v>769</v>
      </c>
      <c r="D151" s="114" t="s">
        <v>770</v>
      </c>
      <c r="E151" s="148" t="s">
        <v>757</v>
      </c>
      <c r="F151" s="113" t="s">
        <v>758</v>
      </c>
      <c r="G151" s="114"/>
    </row>
    <row r="152" spans="1:7" ht="99.75" x14ac:dyDescent="0.2">
      <c r="A152" s="144"/>
      <c r="B152" s="145"/>
      <c r="C152" s="114" t="s">
        <v>771</v>
      </c>
      <c r="D152" s="114" t="s">
        <v>772</v>
      </c>
      <c r="E152" s="148" t="s">
        <v>757</v>
      </c>
      <c r="F152" s="113" t="s">
        <v>758</v>
      </c>
      <c r="G152" s="114"/>
    </row>
    <row r="153" spans="1:7" ht="99.75" x14ac:dyDescent="0.2">
      <c r="A153" s="144"/>
      <c r="B153" s="145"/>
      <c r="C153" s="114" t="s">
        <v>773</v>
      </c>
      <c r="D153" s="114" t="s">
        <v>774</v>
      </c>
      <c r="E153" s="148" t="s">
        <v>757</v>
      </c>
      <c r="F153" s="113" t="s">
        <v>758</v>
      </c>
      <c r="G153" s="114"/>
    </row>
    <row r="154" spans="1:7" ht="99.75" x14ac:dyDescent="0.2">
      <c r="A154" s="144"/>
      <c r="B154" s="145"/>
      <c r="C154" s="114" t="s">
        <v>775</v>
      </c>
      <c r="D154" s="114" t="s">
        <v>776</v>
      </c>
      <c r="E154" s="148" t="s">
        <v>757</v>
      </c>
      <c r="F154" s="113" t="s">
        <v>758</v>
      </c>
      <c r="G154" s="114"/>
    </row>
    <row r="155" spans="1:7" ht="99.75" x14ac:dyDescent="0.2">
      <c r="A155" s="144"/>
      <c r="B155" s="145"/>
      <c r="C155" s="114" t="s">
        <v>777</v>
      </c>
      <c r="D155" s="114" t="s">
        <v>778</v>
      </c>
      <c r="E155" s="148" t="s">
        <v>757</v>
      </c>
      <c r="F155" s="113" t="s">
        <v>758</v>
      </c>
      <c r="G155" s="114"/>
    </row>
    <row r="156" spans="1:7" ht="71.25" x14ac:dyDescent="0.2">
      <c r="A156" s="144"/>
      <c r="B156" s="145"/>
      <c r="C156" s="114" t="s">
        <v>779</v>
      </c>
      <c r="D156" s="114" t="s">
        <v>780</v>
      </c>
      <c r="E156" s="148" t="s">
        <v>712</v>
      </c>
      <c r="F156" s="113" t="s">
        <v>781</v>
      </c>
      <c r="G156" s="114" t="s">
        <v>782</v>
      </c>
    </row>
    <row r="157" spans="1:7" ht="42.75" x14ac:dyDescent="0.2">
      <c r="A157" s="144"/>
      <c r="B157" s="145"/>
      <c r="C157" s="114" t="s">
        <v>783</v>
      </c>
      <c r="D157" s="114" t="s">
        <v>784</v>
      </c>
      <c r="E157" s="148" t="s">
        <v>326</v>
      </c>
      <c r="F157" s="113" t="s">
        <v>327</v>
      </c>
      <c r="G157" s="114" t="s">
        <v>328</v>
      </c>
    </row>
    <row r="158" spans="1:7" x14ac:dyDescent="0.2">
      <c r="A158" s="144"/>
      <c r="B158" s="145"/>
      <c r="C158" s="114" t="s">
        <v>785</v>
      </c>
      <c r="D158" s="114" t="s">
        <v>786</v>
      </c>
      <c r="E158" s="148"/>
      <c r="F158" s="113"/>
      <c r="G158" s="114" t="s">
        <v>331</v>
      </c>
    </row>
    <row r="159" spans="1:7" x14ac:dyDescent="0.2">
      <c r="A159" s="144"/>
      <c r="B159" s="145"/>
      <c r="C159" s="114" t="s">
        <v>787</v>
      </c>
      <c r="D159" s="114" t="s">
        <v>788</v>
      </c>
      <c r="E159" s="148"/>
      <c r="F159" s="113"/>
      <c r="G159" s="114" t="s">
        <v>334</v>
      </c>
    </row>
    <row r="160" spans="1:7" x14ac:dyDescent="0.2">
      <c r="A160" s="144"/>
      <c r="B160" s="145"/>
      <c r="C160" s="114" t="s">
        <v>789</v>
      </c>
      <c r="D160" s="114" t="s">
        <v>790</v>
      </c>
      <c r="E160" s="148"/>
      <c r="F160" s="113"/>
      <c r="G160" s="114" t="s">
        <v>334</v>
      </c>
    </row>
    <row r="161" spans="1:7" ht="99.75" x14ac:dyDescent="0.2">
      <c r="A161" s="144"/>
      <c r="B161" s="145"/>
      <c r="C161" s="114" t="s">
        <v>791</v>
      </c>
      <c r="D161" s="114" t="s">
        <v>792</v>
      </c>
      <c r="E161" s="148" t="s">
        <v>725</v>
      </c>
      <c r="F161" s="113" t="s">
        <v>793</v>
      </c>
      <c r="G161" s="114"/>
    </row>
    <row r="162" spans="1:7" ht="28.5" x14ac:dyDescent="0.2">
      <c r="A162" s="144"/>
      <c r="B162" s="145"/>
      <c r="C162" s="114" t="s">
        <v>794</v>
      </c>
      <c r="D162" s="114" t="s">
        <v>795</v>
      </c>
      <c r="E162" s="148" t="s">
        <v>729</v>
      </c>
      <c r="F162" s="113"/>
      <c r="G162" s="114" t="s">
        <v>696</v>
      </c>
    </row>
    <row r="163" spans="1:7" ht="71.25" x14ac:dyDescent="0.2">
      <c r="A163" s="144"/>
      <c r="B163" s="145"/>
      <c r="C163" s="114" t="s">
        <v>796</v>
      </c>
      <c r="D163" s="114" t="s">
        <v>797</v>
      </c>
      <c r="E163" s="148" t="s">
        <v>798</v>
      </c>
      <c r="F163" s="113" t="s">
        <v>799</v>
      </c>
      <c r="G163" s="114"/>
    </row>
    <row r="164" spans="1:7" ht="85.5" x14ac:dyDescent="0.2">
      <c r="A164" s="144"/>
      <c r="B164" s="145"/>
      <c r="C164" s="114" t="s">
        <v>800</v>
      </c>
      <c r="D164" s="114" t="s">
        <v>801</v>
      </c>
      <c r="E164" s="148" t="s">
        <v>802</v>
      </c>
      <c r="F164" s="113" t="s">
        <v>803</v>
      </c>
      <c r="G164" s="114"/>
    </row>
    <row r="165" spans="1:7" ht="156.75" x14ac:dyDescent="0.2">
      <c r="A165" s="144"/>
      <c r="B165" s="145"/>
      <c r="C165" s="114" t="s">
        <v>804</v>
      </c>
      <c r="D165" s="114" t="s">
        <v>805</v>
      </c>
      <c r="E165" s="148" t="s">
        <v>741</v>
      </c>
      <c r="F165" s="113" t="s">
        <v>806</v>
      </c>
      <c r="G165" s="114"/>
    </row>
    <row r="166" spans="1:7" ht="85.5" x14ac:dyDescent="0.2">
      <c r="A166" s="144"/>
      <c r="B166" s="145"/>
      <c r="C166" s="114" t="s">
        <v>807</v>
      </c>
      <c r="D166" s="114" t="s">
        <v>808</v>
      </c>
      <c r="E166" s="148" t="s">
        <v>745</v>
      </c>
      <c r="F166" s="113" t="s">
        <v>809</v>
      </c>
      <c r="G166" s="114"/>
    </row>
    <row r="167" spans="1:7" ht="85.5" x14ac:dyDescent="0.2">
      <c r="A167" s="144"/>
      <c r="B167" s="145"/>
      <c r="C167" s="114" t="s">
        <v>810</v>
      </c>
      <c r="D167" s="114" t="s">
        <v>811</v>
      </c>
      <c r="E167" s="148" t="s">
        <v>749</v>
      </c>
      <c r="F167" s="113" t="s">
        <v>812</v>
      </c>
      <c r="G167" s="114" t="s">
        <v>751</v>
      </c>
    </row>
    <row r="168" spans="1:7" ht="28.5" x14ac:dyDescent="0.2">
      <c r="A168" s="144"/>
      <c r="B168" s="145"/>
      <c r="C168" s="114" t="s">
        <v>813</v>
      </c>
      <c r="D168" s="114" t="s">
        <v>814</v>
      </c>
      <c r="E168" s="148" t="s">
        <v>754</v>
      </c>
      <c r="F168" s="113"/>
      <c r="G168" s="114" t="s">
        <v>696</v>
      </c>
    </row>
    <row r="169" spans="1:7" ht="99.75" x14ac:dyDescent="0.2">
      <c r="A169" s="144"/>
      <c r="B169" s="145"/>
      <c r="C169" s="114" t="s">
        <v>815</v>
      </c>
      <c r="D169" s="114" t="s">
        <v>816</v>
      </c>
      <c r="E169" s="148" t="s">
        <v>757</v>
      </c>
      <c r="F169" s="113" t="s">
        <v>817</v>
      </c>
      <c r="G169" s="114"/>
    </row>
    <row r="170" spans="1:7" ht="99.75" x14ac:dyDescent="0.2">
      <c r="A170" s="144"/>
      <c r="B170" s="145"/>
      <c r="C170" s="114" t="s">
        <v>818</v>
      </c>
      <c r="D170" s="114" t="s">
        <v>819</v>
      </c>
      <c r="E170" s="148" t="s">
        <v>757</v>
      </c>
      <c r="F170" s="113" t="s">
        <v>817</v>
      </c>
      <c r="G170" s="114"/>
    </row>
    <row r="171" spans="1:7" ht="99.75" x14ac:dyDescent="0.2">
      <c r="A171" s="144"/>
      <c r="B171" s="145"/>
      <c r="C171" s="114" t="s">
        <v>820</v>
      </c>
      <c r="D171" s="114" t="s">
        <v>821</v>
      </c>
      <c r="E171" s="148" t="s">
        <v>757</v>
      </c>
      <c r="F171" s="113" t="s">
        <v>817</v>
      </c>
      <c r="G171" s="114"/>
    </row>
    <row r="172" spans="1:7" ht="99.75" x14ac:dyDescent="0.2">
      <c r="A172" s="144"/>
      <c r="B172" s="145"/>
      <c r="C172" s="114" t="s">
        <v>822</v>
      </c>
      <c r="D172" s="114" t="s">
        <v>823</v>
      </c>
      <c r="E172" s="148" t="s">
        <v>757</v>
      </c>
      <c r="F172" s="113" t="s">
        <v>817</v>
      </c>
      <c r="G172" s="114"/>
    </row>
    <row r="173" spans="1:7" ht="99.75" x14ac:dyDescent="0.2">
      <c r="A173" s="144"/>
      <c r="B173" s="145"/>
      <c r="C173" s="114" t="s">
        <v>824</v>
      </c>
      <c r="D173" s="114" t="s">
        <v>825</v>
      </c>
      <c r="E173" s="148" t="s">
        <v>757</v>
      </c>
      <c r="F173" s="113" t="s">
        <v>817</v>
      </c>
      <c r="G173" s="114"/>
    </row>
    <row r="174" spans="1:7" ht="99.75" x14ac:dyDescent="0.2">
      <c r="A174" s="144"/>
      <c r="B174" s="145"/>
      <c r="C174" s="114" t="s">
        <v>826</v>
      </c>
      <c r="D174" s="114" t="s">
        <v>827</v>
      </c>
      <c r="E174" s="148" t="s">
        <v>757</v>
      </c>
      <c r="F174" s="113" t="s">
        <v>817</v>
      </c>
      <c r="G174" s="114"/>
    </row>
    <row r="175" spans="1:7" ht="99.75" x14ac:dyDescent="0.2">
      <c r="A175" s="144"/>
      <c r="B175" s="145"/>
      <c r="C175" s="114" t="s">
        <v>828</v>
      </c>
      <c r="D175" s="114" t="s">
        <v>829</v>
      </c>
      <c r="E175" s="148" t="s">
        <v>757</v>
      </c>
      <c r="F175" s="113" t="s">
        <v>817</v>
      </c>
      <c r="G175" s="114"/>
    </row>
    <row r="176" spans="1:7" ht="99.75" x14ac:dyDescent="0.2">
      <c r="A176" s="144"/>
      <c r="B176" s="145"/>
      <c r="C176" s="114" t="s">
        <v>830</v>
      </c>
      <c r="D176" s="114" t="s">
        <v>831</v>
      </c>
      <c r="E176" s="148" t="s">
        <v>757</v>
      </c>
      <c r="F176" s="113" t="s">
        <v>817</v>
      </c>
      <c r="G176" s="114"/>
    </row>
    <row r="177" spans="1:7" ht="99.75" x14ac:dyDescent="0.2">
      <c r="A177" s="144"/>
      <c r="B177" s="145"/>
      <c r="C177" s="114" t="s">
        <v>832</v>
      </c>
      <c r="D177" s="114" t="s">
        <v>833</v>
      </c>
      <c r="E177" s="148" t="s">
        <v>757</v>
      </c>
      <c r="F177" s="113" t="s">
        <v>817</v>
      </c>
      <c r="G177" s="114"/>
    </row>
    <row r="178" spans="1:7" ht="99.75" x14ac:dyDescent="0.2">
      <c r="A178" s="144"/>
      <c r="B178" s="145"/>
      <c r="C178" s="114" t="s">
        <v>834</v>
      </c>
      <c r="D178" s="114" t="s">
        <v>835</v>
      </c>
      <c r="E178" s="148" t="s">
        <v>757</v>
      </c>
      <c r="F178" s="113" t="s">
        <v>817</v>
      </c>
      <c r="G178" s="114"/>
    </row>
    <row r="179" spans="1:7" ht="99.75" x14ac:dyDescent="0.2">
      <c r="A179" s="144"/>
      <c r="B179" s="145"/>
      <c r="C179" s="114" t="s">
        <v>836</v>
      </c>
      <c r="D179" s="114" t="s">
        <v>837</v>
      </c>
      <c r="E179" s="148" t="s">
        <v>757</v>
      </c>
      <c r="F179" s="113" t="s">
        <v>817</v>
      </c>
      <c r="G179" s="114"/>
    </row>
    <row r="180" spans="1:7" ht="171" x14ac:dyDescent="0.2">
      <c r="A180" s="144"/>
      <c r="B180" s="145"/>
      <c r="C180" s="114" t="s">
        <v>838</v>
      </c>
      <c r="D180" s="114" t="s">
        <v>839</v>
      </c>
      <c r="E180" s="148" t="s">
        <v>702</v>
      </c>
      <c r="F180" s="113" t="s">
        <v>840</v>
      </c>
      <c r="G180" s="114" t="s">
        <v>704</v>
      </c>
    </row>
    <row r="181" spans="1:7" ht="57" x14ac:dyDescent="0.2">
      <c r="A181" s="144"/>
      <c r="B181" s="145"/>
      <c r="C181" s="114" t="s">
        <v>841</v>
      </c>
      <c r="D181" s="114" t="s">
        <v>842</v>
      </c>
      <c r="E181" s="148" t="s">
        <v>707</v>
      </c>
      <c r="F181" s="113" t="s">
        <v>843</v>
      </c>
      <c r="G181" s="114" t="s">
        <v>709</v>
      </c>
    </row>
    <row r="182" spans="1:7" ht="15.6" customHeight="1" x14ac:dyDescent="0.25">
      <c r="A182" s="226" t="s">
        <v>4299</v>
      </c>
      <c r="B182" s="218"/>
      <c r="C182" s="218"/>
      <c r="D182" s="218"/>
      <c r="E182" s="218"/>
      <c r="F182" s="218"/>
      <c r="G182" s="227"/>
    </row>
    <row r="183" spans="1:7" x14ac:dyDescent="0.2">
      <c r="A183" s="144"/>
      <c r="B183" s="145"/>
      <c r="C183" s="116" t="s">
        <v>844</v>
      </c>
      <c r="D183" s="113" t="s">
        <v>1391</v>
      </c>
      <c r="E183" s="116">
        <v>4</v>
      </c>
      <c r="F183" s="119"/>
      <c r="G183" s="115" t="s">
        <v>4007</v>
      </c>
    </row>
    <row r="184" spans="1:7" x14ac:dyDescent="0.2">
      <c r="A184" s="144"/>
      <c r="B184" s="145"/>
      <c r="C184" s="116" t="s">
        <v>845</v>
      </c>
      <c r="D184" s="113" t="s">
        <v>1107</v>
      </c>
      <c r="E184" s="153" t="s">
        <v>846</v>
      </c>
      <c r="F184" s="119" t="s">
        <v>3994</v>
      </c>
      <c r="G184" s="119"/>
    </row>
    <row r="185" spans="1:7" ht="28.5" x14ac:dyDescent="0.2">
      <c r="A185" s="144"/>
      <c r="B185" s="145"/>
      <c r="C185" s="116" t="s">
        <v>847</v>
      </c>
      <c r="D185" s="113" t="s">
        <v>307</v>
      </c>
      <c r="E185" s="119" t="s">
        <v>848</v>
      </c>
      <c r="F185" s="119" t="s">
        <v>309</v>
      </c>
      <c r="G185" s="113" t="s">
        <v>310</v>
      </c>
    </row>
    <row r="186" spans="1:7" ht="28.5" x14ac:dyDescent="0.2">
      <c r="A186" s="144"/>
      <c r="B186" s="145"/>
      <c r="C186" s="115" t="s">
        <v>849</v>
      </c>
      <c r="D186" s="113" t="s">
        <v>312</v>
      </c>
      <c r="E186" s="113" t="s">
        <v>850</v>
      </c>
      <c r="F186" s="119"/>
      <c r="G186" s="113" t="s">
        <v>314</v>
      </c>
    </row>
    <row r="187" spans="1:7" ht="28.5" x14ac:dyDescent="0.2">
      <c r="A187" s="144"/>
      <c r="B187" s="145"/>
      <c r="C187" s="116" t="s">
        <v>851</v>
      </c>
      <c r="D187" s="113" t="s">
        <v>316</v>
      </c>
      <c r="E187" s="113" t="s">
        <v>850</v>
      </c>
      <c r="F187" s="119"/>
      <c r="G187" s="113" t="s">
        <v>4864</v>
      </c>
    </row>
    <row r="188" spans="1:7" ht="28.5" x14ac:dyDescent="0.2">
      <c r="A188" s="144"/>
      <c r="B188" s="145" t="s">
        <v>3012</v>
      </c>
      <c r="C188" s="115" t="s">
        <v>852</v>
      </c>
      <c r="D188" s="113" t="s">
        <v>319</v>
      </c>
      <c r="E188" s="119" t="s">
        <v>252</v>
      </c>
      <c r="F188" s="119"/>
      <c r="G188" s="113" t="s">
        <v>4865</v>
      </c>
    </row>
    <row r="189" spans="1:7" ht="242.25" x14ac:dyDescent="0.2">
      <c r="A189" s="144"/>
      <c r="B189" s="145"/>
      <c r="C189" s="116" t="s">
        <v>853</v>
      </c>
      <c r="D189" s="113" t="s">
        <v>4566</v>
      </c>
      <c r="E189" s="113" t="s">
        <v>854</v>
      </c>
      <c r="F189" s="113" t="s">
        <v>4867</v>
      </c>
      <c r="G189" s="113" t="s">
        <v>4866</v>
      </c>
    </row>
    <row r="190" spans="1:7" ht="42.75" x14ac:dyDescent="0.2">
      <c r="A190" s="144"/>
      <c r="B190" s="145"/>
      <c r="C190" s="116" t="s">
        <v>855</v>
      </c>
      <c r="D190" s="113" t="s">
        <v>325</v>
      </c>
      <c r="E190" s="148" t="s">
        <v>856</v>
      </c>
      <c r="F190" s="113" t="s">
        <v>4353</v>
      </c>
      <c r="G190" s="113" t="s">
        <v>328</v>
      </c>
    </row>
    <row r="191" spans="1:7" ht="28.5" x14ac:dyDescent="0.2">
      <c r="A191" s="144"/>
      <c r="B191" s="145"/>
      <c r="C191" s="116" t="s">
        <v>857</v>
      </c>
      <c r="D191" s="113" t="s">
        <v>3987</v>
      </c>
      <c r="E191" s="154"/>
      <c r="F191" s="119"/>
      <c r="G191" s="113" t="s">
        <v>4008</v>
      </c>
    </row>
    <row r="192" spans="1:7" x14ac:dyDescent="0.2">
      <c r="A192" s="144"/>
      <c r="B192" s="145"/>
      <c r="C192" s="116" t="s">
        <v>858</v>
      </c>
      <c r="D192" s="114" t="s">
        <v>333</v>
      </c>
      <c r="E192" s="154"/>
      <c r="F192" s="114"/>
      <c r="G192" s="114" t="s">
        <v>334</v>
      </c>
    </row>
    <row r="193" spans="1:7" x14ac:dyDescent="0.2">
      <c r="A193" s="144"/>
      <c r="B193" s="145"/>
      <c r="C193" s="116" t="s">
        <v>859</v>
      </c>
      <c r="D193" s="114" t="s">
        <v>336</v>
      </c>
      <c r="E193" s="154"/>
      <c r="F193" s="114"/>
      <c r="G193" s="114" t="s">
        <v>334</v>
      </c>
    </row>
    <row r="194" spans="1:7" ht="85.5" x14ac:dyDescent="0.2">
      <c r="A194" s="144"/>
      <c r="B194" s="145"/>
      <c r="C194" s="116" t="s">
        <v>860</v>
      </c>
      <c r="D194" s="113" t="s">
        <v>1408</v>
      </c>
      <c r="E194" s="113" t="s">
        <v>861</v>
      </c>
      <c r="F194" s="113" t="s">
        <v>4354</v>
      </c>
      <c r="G194" s="113" t="s">
        <v>4868</v>
      </c>
    </row>
    <row r="195" spans="1:7" ht="57" x14ac:dyDescent="0.2">
      <c r="A195" s="144"/>
      <c r="B195" s="145"/>
      <c r="C195" s="116" t="s">
        <v>862</v>
      </c>
      <c r="D195" s="113" t="s">
        <v>489</v>
      </c>
      <c r="E195" s="148" t="s">
        <v>863</v>
      </c>
      <c r="F195" s="113" t="s">
        <v>3995</v>
      </c>
      <c r="G195" s="113" t="s">
        <v>4009</v>
      </c>
    </row>
    <row r="196" spans="1:7" ht="57" x14ac:dyDescent="0.2">
      <c r="A196" s="144"/>
      <c r="B196" s="145"/>
      <c r="C196" s="116" t="s">
        <v>864</v>
      </c>
      <c r="D196" s="113" t="s">
        <v>494</v>
      </c>
      <c r="E196" s="148" t="s">
        <v>863</v>
      </c>
      <c r="F196" s="113" t="s">
        <v>3996</v>
      </c>
      <c r="G196" s="113" t="s">
        <v>4010</v>
      </c>
    </row>
    <row r="197" spans="1:7" ht="28.5" x14ac:dyDescent="0.2">
      <c r="A197" s="144"/>
      <c r="B197" s="145"/>
      <c r="C197" s="116" t="s">
        <v>865</v>
      </c>
      <c r="D197" s="113" t="s">
        <v>498</v>
      </c>
      <c r="E197" s="148" t="s">
        <v>866</v>
      </c>
      <c r="F197" s="113" t="s">
        <v>3997</v>
      </c>
      <c r="G197" s="113" t="s">
        <v>4869</v>
      </c>
    </row>
    <row r="198" spans="1:7" ht="57" x14ac:dyDescent="0.2">
      <c r="A198" s="144"/>
      <c r="B198" s="145"/>
      <c r="C198" s="116" t="s">
        <v>867</v>
      </c>
      <c r="D198" s="113" t="s">
        <v>502</v>
      </c>
      <c r="E198" s="148" t="s">
        <v>866</v>
      </c>
      <c r="F198" s="113" t="s">
        <v>3998</v>
      </c>
      <c r="G198" s="113" t="s">
        <v>4870</v>
      </c>
    </row>
    <row r="199" spans="1:7" ht="28.5" x14ac:dyDescent="0.2">
      <c r="A199" s="144"/>
      <c r="B199" s="145"/>
      <c r="C199" s="116" t="s">
        <v>868</v>
      </c>
      <c r="D199" s="113" t="s">
        <v>505</v>
      </c>
      <c r="E199" s="148" t="s">
        <v>866</v>
      </c>
      <c r="F199" s="113" t="s">
        <v>3999</v>
      </c>
      <c r="G199" s="122"/>
    </row>
    <row r="200" spans="1:7" ht="42.75" x14ac:dyDescent="0.2">
      <c r="A200" s="144"/>
      <c r="B200" s="145"/>
      <c r="C200" s="116" t="s">
        <v>869</v>
      </c>
      <c r="D200" s="113" t="s">
        <v>3988</v>
      </c>
      <c r="E200" s="113" t="s">
        <v>870</v>
      </c>
      <c r="F200" s="113" t="s">
        <v>4000</v>
      </c>
      <c r="G200" s="113" t="s">
        <v>4871</v>
      </c>
    </row>
    <row r="201" spans="1:7" ht="28.5" x14ac:dyDescent="0.2">
      <c r="A201" s="144"/>
      <c r="B201" s="145"/>
      <c r="C201" s="116" t="s">
        <v>871</v>
      </c>
      <c r="D201" s="113" t="s">
        <v>4573</v>
      </c>
      <c r="E201" s="113" t="s">
        <v>870</v>
      </c>
      <c r="F201" s="113" t="s">
        <v>4000</v>
      </c>
      <c r="G201" s="113" t="s">
        <v>4872</v>
      </c>
    </row>
    <row r="202" spans="1:7" ht="28.5" x14ac:dyDescent="0.2">
      <c r="A202" s="144"/>
      <c r="B202" s="145"/>
      <c r="C202" s="116" t="s">
        <v>872</v>
      </c>
      <c r="D202" s="113" t="s">
        <v>4567</v>
      </c>
      <c r="E202" s="113" t="s">
        <v>870</v>
      </c>
      <c r="F202" s="113" t="s">
        <v>4000</v>
      </c>
      <c r="G202" s="113" t="s">
        <v>4011</v>
      </c>
    </row>
    <row r="203" spans="1:7" ht="28.5" x14ac:dyDescent="0.2">
      <c r="A203" s="144"/>
      <c r="B203" s="145"/>
      <c r="C203" s="116" t="s">
        <v>873</v>
      </c>
      <c r="D203" s="113" t="s">
        <v>4568</v>
      </c>
      <c r="E203" s="113" t="s">
        <v>874</v>
      </c>
      <c r="F203" s="113" t="s">
        <v>4001</v>
      </c>
      <c r="G203" s="113" t="s">
        <v>4012</v>
      </c>
    </row>
    <row r="204" spans="1:7" ht="28.5" x14ac:dyDescent="0.2">
      <c r="A204" s="144"/>
      <c r="B204" s="145"/>
      <c r="C204" s="116" t="s">
        <v>875</v>
      </c>
      <c r="D204" s="113" t="s">
        <v>4569</v>
      </c>
      <c r="E204" s="113" t="s">
        <v>874</v>
      </c>
      <c r="F204" s="113" t="s">
        <v>4001</v>
      </c>
      <c r="G204" s="113" t="s">
        <v>4013</v>
      </c>
    </row>
    <row r="205" spans="1:7" ht="28.5" x14ac:dyDescent="0.2">
      <c r="A205" s="144"/>
      <c r="B205" s="145"/>
      <c r="C205" s="116" t="s">
        <v>876</v>
      </c>
      <c r="D205" s="113" t="s">
        <v>1432</v>
      </c>
      <c r="E205" s="113" t="s">
        <v>874</v>
      </c>
      <c r="F205" s="113" t="s">
        <v>4001</v>
      </c>
      <c r="G205" s="113" t="s">
        <v>4014</v>
      </c>
    </row>
    <row r="206" spans="1:7" ht="28.5" x14ac:dyDescent="0.2">
      <c r="A206" s="144"/>
      <c r="B206" s="145"/>
      <c r="C206" s="116" t="s">
        <v>877</v>
      </c>
      <c r="D206" s="113" t="s">
        <v>4570</v>
      </c>
      <c r="E206" s="113" t="s">
        <v>874</v>
      </c>
      <c r="F206" s="113" t="s">
        <v>4001</v>
      </c>
      <c r="G206" s="113" t="s">
        <v>4873</v>
      </c>
    </row>
    <row r="207" spans="1:7" ht="28.5" x14ac:dyDescent="0.2">
      <c r="A207" s="144"/>
      <c r="B207" s="145"/>
      <c r="C207" s="116" t="s">
        <v>878</v>
      </c>
      <c r="D207" s="113" t="s">
        <v>4571</v>
      </c>
      <c r="E207" s="113" t="s">
        <v>874</v>
      </c>
      <c r="F207" s="113" t="s">
        <v>4001</v>
      </c>
      <c r="G207" s="113" t="s">
        <v>4873</v>
      </c>
    </row>
    <row r="208" spans="1:7" ht="28.5" x14ac:dyDescent="0.2">
      <c r="A208" s="144"/>
      <c r="B208" s="145"/>
      <c r="C208" s="116" t="s">
        <v>879</v>
      </c>
      <c r="D208" s="113" t="s">
        <v>4572</v>
      </c>
      <c r="E208" s="113" t="s">
        <v>874</v>
      </c>
      <c r="F208" s="113" t="s">
        <v>4001</v>
      </c>
      <c r="G208" s="113" t="s">
        <v>4873</v>
      </c>
    </row>
    <row r="209" spans="1:7" ht="28.5" x14ac:dyDescent="0.2">
      <c r="A209" s="144"/>
      <c r="B209" s="145"/>
      <c r="C209" s="116" t="s">
        <v>880</v>
      </c>
      <c r="D209" s="113" t="s">
        <v>4574</v>
      </c>
      <c r="E209" s="113" t="s">
        <v>874</v>
      </c>
      <c r="F209" s="113" t="s">
        <v>4001</v>
      </c>
      <c r="G209" s="113" t="s">
        <v>4874</v>
      </c>
    </row>
    <row r="210" spans="1:7" ht="28.5" x14ac:dyDescent="0.2">
      <c r="A210" s="144"/>
      <c r="B210" s="145"/>
      <c r="C210" s="116" t="s">
        <v>881</v>
      </c>
      <c r="D210" s="113" t="s">
        <v>4575</v>
      </c>
      <c r="E210" s="113" t="s">
        <v>874</v>
      </c>
      <c r="F210" s="113" t="s">
        <v>4001</v>
      </c>
      <c r="G210" s="113" t="s">
        <v>4874</v>
      </c>
    </row>
    <row r="211" spans="1:7" ht="28.5" x14ac:dyDescent="0.2">
      <c r="A211" s="144"/>
      <c r="B211" s="145"/>
      <c r="C211" s="116" t="s">
        <v>882</v>
      </c>
      <c r="D211" s="113" t="s">
        <v>4576</v>
      </c>
      <c r="E211" s="113" t="s">
        <v>874</v>
      </c>
      <c r="F211" s="113" t="s">
        <v>4001</v>
      </c>
      <c r="G211" s="113" t="s">
        <v>4874</v>
      </c>
    </row>
    <row r="212" spans="1:7" ht="28.5" x14ac:dyDescent="0.2">
      <c r="A212" s="144"/>
      <c r="B212" s="145"/>
      <c r="C212" s="116" t="s">
        <v>883</v>
      </c>
      <c r="D212" s="113" t="s">
        <v>4577</v>
      </c>
      <c r="E212" s="113" t="s">
        <v>874</v>
      </c>
      <c r="F212" s="113" t="s">
        <v>4001</v>
      </c>
      <c r="G212" s="113" t="s">
        <v>4874</v>
      </c>
    </row>
    <row r="213" spans="1:7" ht="28.5" x14ac:dyDescent="0.2">
      <c r="A213" s="144"/>
      <c r="B213" s="145"/>
      <c r="C213" s="116" t="s">
        <v>884</v>
      </c>
      <c r="D213" s="113" t="s">
        <v>4578</v>
      </c>
      <c r="E213" s="113" t="s">
        <v>874</v>
      </c>
      <c r="F213" s="113" t="s">
        <v>4001</v>
      </c>
      <c r="G213" s="113" t="s">
        <v>4874</v>
      </c>
    </row>
    <row r="214" spans="1:7" ht="28.5" x14ac:dyDescent="0.2">
      <c r="A214" s="144"/>
      <c r="B214" s="145"/>
      <c r="C214" s="116" t="s">
        <v>885</v>
      </c>
      <c r="D214" s="113" t="s">
        <v>4579</v>
      </c>
      <c r="E214" s="113" t="s">
        <v>874</v>
      </c>
      <c r="F214" s="113" t="s">
        <v>4001</v>
      </c>
      <c r="G214" s="113" t="s">
        <v>4874</v>
      </c>
    </row>
    <row r="215" spans="1:7" ht="28.5" x14ac:dyDescent="0.2">
      <c r="A215" s="144"/>
      <c r="B215" s="145"/>
      <c r="C215" s="116" t="s">
        <v>886</v>
      </c>
      <c r="D215" s="113" t="s">
        <v>4580</v>
      </c>
      <c r="E215" s="113" t="s">
        <v>874</v>
      </c>
      <c r="F215" s="113" t="s">
        <v>4001</v>
      </c>
      <c r="G215" s="113" t="s">
        <v>4874</v>
      </c>
    </row>
    <row r="216" spans="1:7" ht="28.5" x14ac:dyDescent="0.2">
      <c r="A216" s="144"/>
      <c r="B216" s="145"/>
      <c r="C216" s="116" t="s">
        <v>887</v>
      </c>
      <c r="D216" s="113" t="s">
        <v>4581</v>
      </c>
      <c r="E216" s="113" t="s">
        <v>874</v>
      </c>
      <c r="F216" s="113" t="s">
        <v>4001</v>
      </c>
      <c r="G216" s="113" t="s">
        <v>4874</v>
      </c>
    </row>
    <row r="217" spans="1:7" ht="28.5" x14ac:dyDescent="0.2">
      <c r="A217" s="144"/>
      <c r="B217" s="145"/>
      <c r="C217" s="116" t="s">
        <v>888</v>
      </c>
      <c r="D217" s="113" t="s">
        <v>4582</v>
      </c>
      <c r="E217" s="113" t="s">
        <v>874</v>
      </c>
      <c r="F217" s="113" t="s">
        <v>4001</v>
      </c>
      <c r="G217" s="113" t="s">
        <v>4874</v>
      </c>
    </row>
    <row r="218" spans="1:7" ht="28.5" x14ac:dyDescent="0.2">
      <c r="A218" s="144"/>
      <c r="B218" s="145"/>
      <c r="C218" s="116" t="s">
        <v>889</v>
      </c>
      <c r="D218" s="113" t="s">
        <v>4583</v>
      </c>
      <c r="E218" s="113" t="s">
        <v>874</v>
      </c>
      <c r="F218" s="113" t="s">
        <v>4001</v>
      </c>
      <c r="G218" s="113" t="s">
        <v>4874</v>
      </c>
    </row>
    <row r="219" spans="1:7" ht="28.5" x14ac:dyDescent="0.2">
      <c r="A219" s="144"/>
      <c r="B219" s="145"/>
      <c r="C219" s="116" t="s">
        <v>890</v>
      </c>
      <c r="D219" s="113" t="s">
        <v>4584</v>
      </c>
      <c r="E219" s="113" t="s">
        <v>874</v>
      </c>
      <c r="F219" s="113" t="s">
        <v>4001</v>
      </c>
      <c r="G219" s="113" t="s">
        <v>4874</v>
      </c>
    </row>
    <row r="220" spans="1:7" ht="28.5" x14ac:dyDescent="0.2">
      <c r="A220" s="144"/>
      <c r="B220" s="145"/>
      <c r="C220" s="116" t="s">
        <v>891</v>
      </c>
      <c r="D220" s="113" t="s">
        <v>4585</v>
      </c>
      <c r="E220" s="113" t="s">
        <v>874</v>
      </c>
      <c r="F220" s="113" t="s">
        <v>4001</v>
      </c>
      <c r="G220" s="113" t="s">
        <v>4874</v>
      </c>
    </row>
    <row r="221" spans="1:7" ht="28.5" x14ac:dyDescent="0.2">
      <c r="A221" s="144"/>
      <c r="B221" s="145"/>
      <c r="C221" s="116" t="s">
        <v>892</v>
      </c>
      <c r="D221" s="113" t="s">
        <v>1465</v>
      </c>
      <c r="E221" s="113" t="s">
        <v>874</v>
      </c>
      <c r="F221" s="113" t="s">
        <v>4001</v>
      </c>
      <c r="G221" s="113" t="s">
        <v>4875</v>
      </c>
    </row>
    <row r="222" spans="1:7" ht="28.5" x14ac:dyDescent="0.2">
      <c r="A222" s="144"/>
      <c r="B222" s="145"/>
      <c r="C222" s="116" t="s">
        <v>893</v>
      </c>
      <c r="D222" s="113" t="s">
        <v>1467</v>
      </c>
      <c r="E222" s="113" t="s">
        <v>874</v>
      </c>
      <c r="F222" s="113" t="s">
        <v>4001</v>
      </c>
      <c r="G222" s="113" t="s">
        <v>4875</v>
      </c>
    </row>
    <row r="223" spans="1:7" ht="28.5" x14ac:dyDescent="0.2">
      <c r="A223" s="144"/>
      <c r="B223" s="145"/>
      <c r="C223" s="116" t="s">
        <v>894</v>
      </c>
      <c r="D223" s="113" t="s">
        <v>1469</v>
      </c>
      <c r="E223" s="113" t="s">
        <v>874</v>
      </c>
      <c r="F223" s="113" t="s">
        <v>4001</v>
      </c>
      <c r="G223" s="113" t="s">
        <v>4875</v>
      </c>
    </row>
    <row r="224" spans="1:7" ht="28.5" x14ac:dyDescent="0.2">
      <c r="A224" s="144"/>
      <c r="B224" s="145"/>
      <c r="C224" s="116" t="s">
        <v>895</v>
      </c>
      <c r="D224" s="113" t="s">
        <v>1471</v>
      </c>
      <c r="E224" s="113" t="s">
        <v>874</v>
      </c>
      <c r="F224" s="113" t="s">
        <v>4001</v>
      </c>
      <c r="G224" s="113" t="s">
        <v>4875</v>
      </c>
    </row>
    <row r="225" spans="1:7" ht="28.5" x14ac:dyDescent="0.2">
      <c r="A225" s="144"/>
      <c r="B225" s="145"/>
      <c r="C225" s="116" t="s">
        <v>896</v>
      </c>
      <c r="D225" s="113" t="s">
        <v>1473</v>
      </c>
      <c r="E225" s="113" t="s">
        <v>874</v>
      </c>
      <c r="F225" s="113" t="s">
        <v>4001</v>
      </c>
      <c r="G225" s="113" t="s">
        <v>4875</v>
      </c>
    </row>
    <row r="226" spans="1:7" ht="28.5" x14ac:dyDescent="0.2">
      <c r="A226" s="144"/>
      <c r="B226" s="145"/>
      <c r="C226" s="116" t="s">
        <v>897</v>
      </c>
      <c r="D226" s="113" t="s">
        <v>4586</v>
      </c>
      <c r="E226" s="113" t="s">
        <v>874</v>
      </c>
      <c r="F226" s="113" t="s">
        <v>4001</v>
      </c>
      <c r="G226" s="113" t="s">
        <v>4015</v>
      </c>
    </row>
    <row r="227" spans="1:7" ht="28.5" x14ac:dyDescent="0.2">
      <c r="A227" s="144"/>
      <c r="B227" s="145"/>
      <c r="C227" s="116" t="s">
        <v>898</v>
      </c>
      <c r="D227" s="113" t="s">
        <v>4587</v>
      </c>
      <c r="E227" s="113" t="s">
        <v>874</v>
      </c>
      <c r="F227" s="113" t="s">
        <v>4001</v>
      </c>
      <c r="G227" s="113" t="s">
        <v>4016</v>
      </c>
    </row>
    <row r="228" spans="1:7" ht="28.5" x14ac:dyDescent="0.2">
      <c r="A228" s="144"/>
      <c r="B228" s="145"/>
      <c r="C228" s="116" t="s">
        <v>899</v>
      </c>
      <c r="D228" s="113" t="s">
        <v>4588</v>
      </c>
      <c r="E228" s="113" t="s">
        <v>874</v>
      </c>
      <c r="F228" s="113" t="s">
        <v>4001</v>
      </c>
      <c r="G228" s="113" t="s">
        <v>4017</v>
      </c>
    </row>
    <row r="229" spans="1:7" ht="28.5" x14ac:dyDescent="0.2">
      <c r="A229" s="144"/>
      <c r="B229" s="145"/>
      <c r="C229" s="116" t="s">
        <v>900</v>
      </c>
      <c r="D229" s="113" t="s">
        <v>4589</v>
      </c>
      <c r="E229" s="113" t="s">
        <v>874</v>
      </c>
      <c r="F229" s="113" t="s">
        <v>4001</v>
      </c>
      <c r="G229" s="113" t="s">
        <v>4018</v>
      </c>
    </row>
    <row r="230" spans="1:7" ht="28.5" x14ac:dyDescent="0.2">
      <c r="A230" s="144"/>
      <c r="B230" s="145"/>
      <c r="C230" s="116" t="s">
        <v>901</v>
      </c>
      <c r="D230" s="113" t="s">
        <v>4590</v>
      </c>
      <c r="E230" s="113" t="s">
        <v>874</v>
      </c>
      <c r="F230" s="113" t="s">
        <v>4001</v>
      </c>
      <c r="G230" s="113" t="s">
        <v>4876</v>
      </c>
    </row>
    <row r="231" spans="1:7" ht="28.5" x14ac:dyDescent="0.2">
      <c r="A231" s="144"/>
      <c r="B231" s="145"/>
      <c r="C231" s="116" t="s">
        <v>902</v>
      </c>
      <c r="D231" s="113" t="s">
        <v>4591</v>
      </c>
      <c r="E231" s="113" t="s">
        <v>874</v>
      </c>
      <c r="F231" s="113" t="s">
        <v>4001</v>
      </c>
      <c r="G231" s="113" t="s">
        <v>4877</v>
      </c>
    </row>
    <row r="232" spans="1:7" ht="42.75" x14ac:dyDescent="0.2">
      <c r="A232" s="144"/>
      <c r="B232" s="145"/>
      <c r="C232" s="116" t="s">
        <v>903</v>
      </c>
      <c r="D232" s="113" t="s">
        <v>3989</v>
      </c>
      <c r="E232" s="113" t="s">
        <v>874</v>
      </c>
      <c r="F232" s="113" t="s">
        <v>4002</v>
      </c>
      <c r="G232" s="113" t="s">
        <v>4019</v>
      </c>
    </row>
    <row r="233" spans="1:7" ht="57" x14ac:dyDescent="0.2">
      <c r="A233" s="144"/>
      <c r="B233" s="145"/>
      <c r="C233" s="116" t="s">
        <v>904</v>
      </c>
      <c r="D233" s="113" t="s">
        <v>4592</v>
      </c>
      <c r="E233" s="113" t="s">
        <v>874</v>
      </c>
      <c r="F233" s="113" t="s">
        <v>4001</v>
      </c>
      <c r="G233" s="113" t="s">
        <v>4020</v>
      </c>
    </row>
    <row r="234" spans="1:7" ht="42.75" x14ac:dyDescent="0.2">
      <c r="A234" s="144"/>
      <c r="B234" s="145"/>
      <c r="C234" s="116" t="s">
        <v>905</v>
      </c>
      <c r="D234" s="113" t="s">
        <v>4593</v>
      </c>
      <c r="E234" s="113" t="s">
        <v>874</v>
      </c>
      <c r="F234" s="113" t="s">
        <v>4001</v>
      </c>
      <c r="G234" s="113" t="s">
        <v>4878</v>
      </c>
    </row>
    <row r="235" spans="1:7" ht="28.5" x14ac:dyDescent="0.2">
      <c r="A235" s="144"/>
      <c r="B235" s="145"/>
      <c r="C235" s="116" t="s">
        <v>906</v>
      </c>
      <c r="D235" s="113" t="s">
        <v>4594</v>
      </c>
      <c r="E235" s="113" t="s">
        <v>874</v>
      </c>
      <c r="F235" s="113" t="s">
        <v>4001</v>
      </c>
      <c r="G235" s="113" t="s">
        <v>4879</v>
      </c>
    </row>
    <row r="236" spans="1:7" ht="42.75" x14ac:dyDescent="0.2">
      <c r="A236" s="144"/>
      <c r="B236" s="145"/>
      <c r="C236" s="116" t="s">
        <v>907</v>
      </c>
      <c r="D236" s="113" t="s">
        <v>4595</v>
      </c>
      <c r="E236" s="113" t="s">
        <v>874</v>
      </c>
      <c r="F236" s="113" t="s">
        <v>4001</v>
      </c>
      <c r="G236" s="113" t="s">
        <v>4880</v>
      </c>
    </row>
    <row r="237" spans="1:7" ht="42.75" x14ac:dyDescent="0.2">
      <c r="A237" s="144"/>
      <c r="B237" s="145"/>
      <c r="C237" s="116" t="s">
        <v>908</v>
      </c>
      <c r="D237" s="113" t="s">
        <v>4596</v>
      </c>
      <c r="E237" s="113" t="s">
        <v>870</v>
      </c>
      <c r="F237" s="113" t="s">
        <v>4000</v>
      </c>
      <c r="G237" s="113" t="s">
        <v>4881</v>
      </c>
    </row>
    <row r="238" spans="1:7" ht="28.5" x14ac:dyDescent="0.2">
      <c r="A238" s="144"/>
      <c r="B238" s="145"/>
      <c r="C238" s="116" t="s">
        <v>909</v>
      </c>
      <c r="D238" s="113" t="s">
        <v>1502</v>
      </c>
      <c r="E238" s="113" t="s">
        <v>910</v>
      </c>
      <c r="F238" s="113" t="s">
        <v>911</v>
      </c>
      <c r="G238" s="113" t="s">
        <v>4362</v>
      </c>
    </row>
    <row r="239" spans="1:7" ht="28.5" x14ac:dyDescent="0.2">
      <c r="A239" s="144"/>
      <c r="B239" s="145"/>
      <c r="C239" s="116" t="s">
        <v>912</v>
      </c>
      <c r="D239" s="113" t="s">
        <v>1505</v>
      </c>
      <c r="E239" s="113" t="s">
        <v>913</v>
      </c>
      <c r="F239" s="113" t="s">
        <v>4003</v>
      </c>
      <c r="G239" s="113" t="s">
        <v>4362</v>
      </c>
    </row>
    <row r="240" spans="1:7" ht="28.5" x14ac:dyDescent="0.2">
      <c r="A240" s="144"/>
      <c r="B240" s="145"/>
      <c r="C240" s="116" t="s">
        <v>914</v>
      </c>
      <c r="D240" s="113" t="s">
        <v>1507</v>
      </c>
      <c r="E240" s="113" t="s">
        <v>874</v>
      </c>
      <c r="F240" s="113" t="s">
        <v>4001</v>
      </c>
      <c r="G240" s="113"/>
    </row>
    <row r="241" spans="1:7" ht="57" x14ac:dyDescent="0.2">
      <c r="A241" s="144"/>
      <c r="B241" s="145"/>
      <c r="C241" s="116" t="s">
        <v>915</v>
      </c>
      <c r="D241" s="113" t="s">
        <v>1510</v>
      </c>
      <c r="E241" s="113" t="s">
        <v>910</v>
      </c>
      <c r="F241" s="113" t="s">
        <v>911</v>
      </c>
      <c r="G241" s="113" t="s">
        <v>4363</v>
      </c>
    </row>
    <row r="242" spans="1:7" ht="28.5" x14ac:dyDescent="0.2">
      <c r="A242" s="144"/>
      <c r="B242" s="145"/>
      <c r="C242" s="116" t="s">
        <v>916</v>
      </c>
      <c r="D242" s="113" t="s">
        <v>1512</v>
      </c>
      <c r="E242" s="113" t="s">
        <v>910</v>
      </c>
      <c r="F242" s="113" t="s">
        <v>911</v>
      </c>
      <c r="G242" s="113" t="s">
        <v>4362</v>
      </c>
    </row>
    <row r="243" spans="1:7" ht="28.5" x14ac:dyDescent="0.2">
      <c r="A243" s="144"/>
      <c r="B243" s="145"/>
      <c r="C243" s="116" t="s">
        <v>917</v>
      </c>
      <c r="D243" s="113" t="s">
        <v>1514</v>
      </c>
      <c r="E243" s="113" t="s">
        <v>918</v>
      </c>
      <c r="F243" s="113" t="s">
        <v>4004</v>
      </c>
      <c r="G243" s="119"/>
    </row>
    <row r="244" spans="1:7" ht="28.5" x14ac:dyDescent="0.2">
      <c r="A244" s="144"/>
      <c r="B244" s="145"/>
      <c r="C244" s="116" t="s">
        <v>919</v>
      </c>
      <c r="D244" s="113" t="s">
        <v>1516</v>
      </c>
      <c r="E244" s="113" t="s">
        <v>918</v>
      </c>
      <c r="F244" s="113" t="s">
        <v>4004</v>
      </c>
      <c r="G244" s="113" t="s">
        <v>4364</v>
      </c>
    </row>
    <row r="245" spans="1:7" ht="28.5" x14ac:dyDescent="0.2">
      <c r="A245" s="144"/>
      <c r="B245" s="145"/>
      <c r="C245" s="116" t="s">
        <v>920</v>
      </c>
      <c r="D245" s="113" t="s">
        <v>4597</v>
      </c>
      <c r="E245" s="113" t="s">
        <v>874</v>
      </c>
      <c r="F245" s="113" t="s">
        <v>4001</v>
      </c>
      <c r="G245" s="113" t="s">
        <v>4365</v>
      </c>
    </row>
    <row r="246" spans="1:7" ht="28.5" x14ac:dyDescent="0.2">
      <c r="A246" s="144"/>
      <c r="B246" s="145"/>
      <c r="C246" s="116" t="s">
        <v>921</v>
      </c>
      <c r="D246" s="113" t="s">
        <v>4598</v>
      </c>
      <c r="E246" s="113" t="s">
        <v>922</v>
      </c>
      <c r="F246" s="113" t="s">
        <v>4005</v>
      </c>
      <c r="G246" s="113" t="s">
        <v>4021</v>
      </c>
    </row>
    <row r="247" spans="1:7" ht="28.5" x14ac:dyDescent="0.2">
      <c r="A247" s="144"/>
      <c r="B247" s="145"/>
      <c r="C247" s="116" t="s">
        <v>923</v>
      </c>
      <c r="D247" s="113" t="s">
        <v>3990</v>
      </c>
      <c r="E247" s="113" t="s">
        <v>913</v>
      </c>
      <c r="F247" s="113" t="s">
        <v>4006</v>
      </c>
      <c r="G247" s="113" t="s">
        <v>4362</v>
      </c>
    </row>
    <row r="248" spans="1:7" ht="28.5" x14ac:dyDescent="0.2">
      <c r="A248" s="144"/>
      <c r="B248" s="145"/>
      <c r="C248" s="116" t="s">
        <v>924</v>
      </c>
      <c r="D248" s="113" t="s">
        <v>4599</v>
      </c>
      <c r="E248" s="113" t="s">
        <v>910</v>
      </c>
      <c r="F248" s="113" t="s">
        <v>911</v>
      </c>
      <c r="G248" s="113" t="s">
        <v>4362</v>
      </c>
    </row>
    <row r="249" spans="1:7" ht="42.75" x14ac:dyDescent="0.2">
      <c r="A249" s="144"/>
      <c r="B249" s="145"/>
      <c r="C249" s="116" t="s">
        <v>925</v>
      </c>
      <c r="D249" s="113" t="s">
        <v>3991</v>
      </c>
      <c r="E249" s="113" t="s">
        <v>874</v>
      </c>
      <c r="F249" s="113" t="s">
        <v>4001</v>
      </c>
      <c r="G249" s="113" t="s">
        <v>4366</v>
      </c>
    </row>
    <row r="250" spans="1:7" ht="42.75" x14ac:dyDescent="0.2">
      <c r="A250" s="144"/>
      <c r="B250" s="145"/>
      <c r="C250" s="116" t="s">
        <v>926</v>
      </c>
      <c r="D250" s="113" t="s">
        <v>1528</v>
      </c>
      <c r="E250" s="113" t="s">
        <v>874</v>
      </c>
      <c r="F250" s="113" t="s">
        <v>4001</v>
      </c>
      <c r="G250" s="113" t="s">
        <v>4367</v>
      </c>
    </row>
    <row r="251" spans="1:7" x14ac:dyDescent="0.2">
      <c r="A251" s="144"/>
      <c r="B251" s="145"/>
      <c r="C251" s="116" t="s">
        <v>927</v>
      </c>
      <c r="D251" s="113" t="s">
        <v>3992</v>
      </c>
      <c r="E251" s="113" t="s">
        <v>913</v>
      </c>
      <c r="F251" s="113" t="s">
        <v>4006</v>
      </c>
      <c r="G251" s="122"/>
    </row>
    <row r="252" spans="1:7" x14ac:dyDescent="0.2">
      <c r="A252" s="144"/>
      <c r="B252" s="145"/>
      <c r="C252" s="116" t="s">
        <v>928</v>
      </c>
      <c r="D252" s="113" t="s">
        <v>3993</v>
      </c>
      <c r="E252" s="113" t="s">
        <v>910</v>
      </c>
      <c r="F252" s="113" t="s">
        <v>911</v>
      </c>
      <c r="G252" s="122"/>
    </row>
    <row r="253" spans="1:7" ht="15" x14ac:dyDescent="0.25">
      <c r="A253" s="224" t="s">
        <v>4350</v>
      </c>
      <c r="B253" s="224"/>
      <c r="C253" s="224"/>
      <c r="D253" s="224"/>
      <c r="E253" s="224"/>
      <c r="F253" s="224"/>
      <c r="G253" s="224"/>
    </row>
    <row r="254" spans="1:7" ht="28.5" x14ac:dyDescent="0.2">
      <c r="A254" s="144"/>
      <c r="B254" s="145"/>
      <c r="C254" s="116" t="s">
        <v>929</v>
      </c>
      <c r="D254" s="113" t="s">
        <v>351</v>
      </c>
      <c r="E254" s="113" t="s">
        <v>930</v>
      </c>
      <c r="F254" s="113" t="s">
        <v>4028</v>
      </c>
      <c r="G254" s="113" t="s">
        <v>3985</v>
      </c>
    </row>
    <row r="255" spans="1:7" ht="28.5" x14ac:dyDescent="0.2">
      <c r="A255" s="144"/>
      <c r="B255" s="145"/>
      <c r="C255" s="116" t="s">
        <v>931</v>
      </c>
      <c r="D255" s="113" t="s">
        <v>354</v>
      </c>
      <c r="E255" s="113" t="s">
        <v>932</v>
      </c>
      <c r="F255" s="113" t="s">
        <v>4028</v>
      </c>
      <c r="G255" s="119"/>
    </row>
    <row r="256" spans="1:7" ht="28.5" x14ac:dyDescent="0.2">
      <c r="A256" s="144"/>
      <c r="B256" s="145"/>
      <c r="C256" s="116" t="s">
        <v>933</v>
      </c>
      <c r="D256" s="113" t="s">
        <v>357</v>
      </c>
      <c r="E256" s="113" t="s">
        <v>934</v>
      </c>
      <c r="F256" s="113" t="s">
        <v>4029</v>
      </c>
      <c r="G256" s="119"/>
    </row>
    <row r="257" spans="1:7" ht="28.5" x14ac:dyDescent="0.2">
      <c r="A257" s="144"/>
      <c r="B257" s="145"/>
      <c r="C257" s="116" t="s">
        <v>935</v>
      </c>
      <c r="D257" s="113" t="s">
        <v>360</v>
      </c>
      <c r="E257" s="113" t="s">
        <v>936</v>
      </c>
      <c r="F257" s="113" t="s">
        <v>4030</v>
      </c>
      <c r="G257" s="113" t="s">
        <v>363</v>
      </c>
    </row>
    <row r="258" spans="1:7" ht="99.75" x14ac:dyDescent="0.2">
      <c r="A258" s="144"/>
      <c r="B258" s="145"/>
      <c r="C258" s="116" t="s">
        <v>937</v>
      </c>
      <c r="D258" s="113" t="s">
        <v>4600</v>
      </c>
      <c r="E258" s="113" t="s">
        <v>938</v>
      </c>
      <c r="F258" s="113" t="s">
        <v>4031</v>
      </c>
      <c r="G258" s="119"/>
    </row>
    <row r="259" spans="1:7" ht="85.5" x14ac:dyDescent="0.2">
      <c r="A259" s="144"/>
      <c r="B259" s="145"/>
      <c r="C259" s="116" t="s">
        <v>939</v>
      </c>
      <c r="D259" s="113" t="s">
        <v>373</v>
      </c>
      <c r="E259" s="113" t="s">
        <v>940</v>
      </c>
      <c r="F259" s="113" t="s">
        <v>4032</v>
      </c>
      <c r="G259" s="114" t="s">
        <v>4025</v>
      </c>
    </row>
    <row r="260" spans="1:7" ht="42.75" x14ac:dyDescent="0.2">
      <c r="A260" s="144"/>
      <c r="B260" s="145"/>
      <c r="C260" s="116" t="s">
        <v>941</v>
      </c>
      <c r="D260" s="113" t="s">
        <v>27</v>
      </c>
      <c r="E260" s="113" t="s">
        <v>942</v>
      </c>
      <c r="F260" s="114" t="s">
        <v>4033</v>
      </c>
      <c r="G260" s="119"/>
    </row>
    <row r="261" spans="1:7" ht="71.25" x14ac:dyDescent="0.2">
      <c r="A261" s="144"/>
      <c r="B261" s="145"/>
      <c r="C261" s="116" t="s">
        <v>943</v>
      </c>
      <c r="D261" s="113" t="s">
        <v>392</v>
      </c>
      <c r="E261" s="113" t="s">
        <v>944</v>
      </c>
      <c r="F261" s="114" t="s">
        <v>4034</v>
      </c>
      <c r="G261" s="119"/>
    </row>
    <row r="262" spans="1:7" ht="57" x14ac:dyDescent="0.2">
      <c r="A262" s="144"/>
      <c r="B262" s="145"/>
      <c r="C262" s="116" t="s">
        <v>945</v>
      </c>
      <c r="D262" s="113" t="s">
        <v>4601</v>
      </c>
      <c r="E262" s="113" t="s">
        <v>946</v>
      </c>
      <c r="F262" s="113" t="s">
        <v>4035</v>
      </c>
      <c r="G262" s="119"/>
    </row>
    <row r="263" spans="1:7" ht="57" x14ac:dyDescent="0.2">
      <c r="A263" s="144"/>
      <c r="B263" s="145"/>
      <c r="C263" s="116" t="s">
        <v>947</v>
      </c>
      <c r="D263" s="113" t="s">
        <v>4602</v>
      </c>
      <c r="E263" s="113" t="s">
        <v>948</v>
      </c>
      <c r="F263" s="113" t="s">
        <v>4036</v>
      </c>
      <c r="G263" s="113" t="s">
        <v>4504</v>
      </c>
    </row>
    <row r="264" spans="1:7" ht="42.75" x14ac:dyDescent="0.2">
      <c r="A264" s="144"/>
      <c r="B264" s="145"/>
      <c r="C264" s="116" t="s">
        <v>949</v>
      </c>
      <c r="D264" s="113" t="s">
        <v>399</v>
      </c>
      <c r="E264" s="113" t="s">
        <v>942</v>
      </c>
      <c r="F264" s="114" t="s">
        <v>4037</v>
      </c>
      <c r="G264" s="119"/>
    </row>
    <row r="265" spans="1:7" ht="71.25" x14ac:dyDescent="0.2">
      <c r="A265" s="144"/>
      <c r="B265" s="145"/>
      <c r="C265" s="116" t="s">
        <v>950</v>
      </c>
      <c r="D265" s="113" t="s">
        <v>4022</v>
      </c>
      <c r="E265" s="148" t="s">
        <v>951</v>
      </c>
      <c r="F265" s="113" t="s">
        <v>4038</v>
      </c>
      <c r="G265" s="119"/>
    </row>
    <row r="266" spans="1:7" ht="57" x14ac:dyDescent="0.2">
      <c r="A266" s="144"/>
      <c r="B266" s="145"/>
      <c r="C266" s="116" t="s">
        <v>952</v>
      </c>
      <c r="D266" s="113" t="s">
        <v>406</v>
      </c>
      <c r="E266" s="148" t="s">
        <v>953</v>
      </c>
      <c r="F266" s="113" t="s">
        <v>4039</v>
      </c>
      <c r="G266" s="113" t="s">
        <v>4368</v>
      </c>
    </row>
    <row r="267" spans="1:7" ht="57" x14ac:dyDescent="0.2">
      <c r="A267" s="144"/>
      <c r="B267" s="145"/>
      <c r="C267" s="116" t="s">
        <v>954</v>
      </c>
      <c r="D267" s="113" t="s">
        <v>411</v>
      </c>
      <c r="E267" s="148" t="s">
        <v>955</v>
      </c>
      <c r="F267" s="113" t="s">
        <v>4040</v>
      </c>
      <c r="G267" s="113" t="s">
        <v>4369</v>
      </c>
    </row>
    <row r="268" spans="1:7" ht="142.5" x14ac:dyDescent="0.2">
      <c r="A268" s="144"/>
      <c r="B268" s="145"/>
      <c r="C268" s="116" t="s">
        <v>956</v>
      </c>
      <c r="D268" s="113" t="s">
        <v>1194</v>
      </c>
      <c r="E268" s="113" t="s">
        <v>957</v>
      </c>
      <c r="F268" s="113" t="s">
        <v>4041</v>
      </c>
      <c r="G268" s="113" t="s">
        <v>4075</v>
      </c>
    </row>
    <row r="269" spans="1:7" ht="57" x14ac:dyDescent="0.2">
      <c r="A269" s="144"/>
      <c r="B269" s="145"/>
      <c r="C269" s="116" t="s">
        <v>958</v>
      </c>
      <c r="D269" s="113" t="s">
        <v>1419</v>
      </c>
      <c r="E269" s="148" t="s">
        <v>959</v>
      </c>
      <c r="F269" s="113" t="s">
        <v>4042</v>
      </c>
      <c r="G269" s="114"/>
    </row>
    <row r="270" spans="1:7" ht="28.5" x14ac:dyDescent="0.2">
      <c r="A270" s="144"/>
      <c r="B270" s="145"/>
      <c r="C270" s="116" t="s">
        <v>960</v>
      </c>
      <c r="D270" s="113" t="s">
        <v>508</v>
      </c>
      <c r="E270" s="113" t="s">
        <v>961</v>
      </c>
      <c r="F270" s="113" t="s">
        <v>4043</v>
      </c>
      <c r="G270" s="114" t="s">
        <v>511</v>
      </c>
    </row>
    <row r="271" spans="1:7" ht="28.5" x14ac:dyDescent="0.2">
      <c r="A271" s="144"/>
      <c r="B271" s="145"/>
      <c r="C271" s="116" t="s">
        <v>962</v>
      </c>
      <c r="D271" s="113" t="s">
        <v>513</v>
      </c>
      <c r="E271" s="113" t="s">
        <v>963</v>
      </c>
      <c r="F271" s="113" t="s">
        <v>4044</v>
      </c>
      <c r="G271" s="113" t="s">
        <v>516</v>
      </c>
    </row>
    <row r="272" spans="1:7" ht="228" x14ac:dyDescent="0.2">
      <c r="A272" s="144"/>
      <c r="B272" s="145"/>
      <c r="C272" s="116" t="s">
        <v>964</v>
      </c>
      <c r="D272" s="113" t="s">
        <v>572</v>
      </c>
      <c r="E272" s="146" t="s">
        <v>965</v>
      </c>
      <c r="F272" s="120" t="s">
        <v>4355</v>
      </c>
      <c r="G272" s="119"/>
    </row>
    <row r="273" spans="1:7" ht="228" x14ac:dyDescent="0.2">
      <c r="A273" s="144"/>
      <c r="B273" s="145"/>
      <c r="C273" s="116" t="s">
        <v>966</v>
      </c>
      <c r="D273" s="113" t="s">
        <v>575</v>
      </c>
      <c r="E273" s="146" t="s">
        <v>967</v>
      </c>
      <c r="F273" s="113" t="s">
        <v>4356</v>
      </c>
      <c r="G273" s="113" t="s">
        <v>4370</v>
      </c>
    </row>
    <row r="274" spans="1:7" ht="213.75" x14ac:dyDescent="0.2">
      <c r="A274" s="144"/>
      <c r="B274" s="145"/>
      <c r="C274" s="155" t="s">
        <v>968</v>
      </c>
      <c r="D274" s="113" t="s">
        <v>4023</v>
      </c>
      <c r="E274" s="146" t="s">
        <v>969</v>
      </c>
      <c r="F274" s="120" t="s">
        <v>4357</v>
      </c>
      <c r="G274" s="113"/>
    </row>
    <row r="275" spans="1:7" ht="171" x14ac:dyDescent="0.2">
      <c r="A275" s="144"/>
      <c r="B275" s="145"/>
      <c r="C275" s="155" t="s">
        <v>970</v>
      </c>
      <c r="D275" s="113" t="s">
        <v>604</v>
      </c>
      <c r="E275" s="146" t="s">
        <v>971</v>
      </c>
      <c r="F275" s="120" t="s">
        <v>4358</v>
      </c>
      <c r="G275" s="113"/>
    </row>
    <row r="276" spans="1:7" ht="142.5" x14ac:dyDescent="0.2">
      <c r="A276" s="144"/>
      <c r="B276" s="145"/>
      <c r="C276" s="155" t="s">
        <v>972</v>
      </c>
      <c r="D276" s="113" t="s">
        <v>607</v>
      </c>
      <c r="E276" s="146" t="s">
        <v>973</v>
      </c>
      <c r="F276" s="113" t="s">
        <v>4045</v>
      </c>
      <c r="G276" s="113"/>
    </row>
    <row r="277" spans="1:7" ht="28.5" x14ac:dyDescent="0.2">
      <c r="A277" s="144"/>
      <c r="B277" s="145"/>
      <c r="C277" s="116" t="s">
        <v>974</v>
      </c>
      <c r="D277" s="113" t="s">
        <v>611</v>
      </c>
      <c r="E277" s="148" t="s">
        <v>975</v>
      </c>
      <c r="F277" s="113" t="s">
        <v>4046</v>
      </c>
      <c r="G277" s="114" t="s">
        <v>614</v>
      </c>
    </row>
    <row r="278" spans="1:7" ht="57" x14ac:dyDescent="0.2">
      <c r="A278" s="144"/>
      <c r="B278" s="145"/>
      <c r="C278" s="116" t="s">
        <v>976</v>
      </c>
      <c r="D278" s="113" t="s">
        <v>616</v>
      </c>
      <c r="E278" s="113" t="s">
        <v>977</v>
      </c>
      <c r="F278" s="113" t="s">
        <v>4047</v>
      </c>
      <c r="G278" s="114" t="s">
        <v>4026</v>
      </c>
    </row>
    <row r="279" spans="1:7" ht="28.5" x14ac:dyDescent="0.2">
      <c r="A279" s="144"/>
      <c r="B279" s="145"/>
      <c r="C279" s="116" t="s">
        <v>978</v>
      </c>
      <c r="D279" s="113" t="s">
        <v>689</v>
      </c>
      <c r="E279" s="148" t="s">
        <v>979</v>
      </c>
      <c r="F279" s="113" t="s">
        <v>4048</v>
      </c>
      <c r="G279" s="114" t="s">
        <v>692</v>
      </c>
    </row>
    <row r="280" spans="1:7" ht="85.5" x14ac:dyDescent="0.2">
      <c r="A280" s="144"/>
      <c r="B280" s="145"/>
      <c r="C280" s="116" t="s">
        <v>980</v>
      </c>
      <c r="D280" s="113" t="s">
        <v>4024</v>
      </c>
      <c r="E280" s="113" t="s">
        <v>981</v>
      </c>
      <c r="F280" s="113" t="s">
        <v>4049</v>
      </c>
      <c r="G280" s="114" t="s">
        <v>682</v>
      </c>
    </row>
    <row r="281" spans="1:7" ht="171" x14ac:dyDescent="0.2">
      <c r="A281" s="144"/>
      <c r="B281" s="145"/>
      <c r="C281" s="116" t="s">
        <v>982</v>
      </c>
      <c r="D281" s="113" t="s">
        <v>4603</v>
      </c>
      <c r="E281" s="148" t="s">
        <v>983</v>
      </c>
      <c r="F281" s="113" t="s">
        <v>4050</v>
      </c>
      <c r="G281" s="114" t="s">
        <v>4371</v>
      </c>
    </row>
    <row r="282" spans="1:7" ht="57" x14ac:dyDescent="0.2">
      <c r="A282" s="144"/>
      <c r="B282" s="145"/>
      <c r="C282" s="116" t="s">
        <v>984</v>
      </c>
      <c r="D282" s="113" t="s">
        <v>1351</v>
      </c>
      <c r="E282" s="148" t="s">
        <v>985</v>
      </c>
      <c r="F282" s="113" t="s">
        <v>4051</v>
      </c>
      <c r="G282" s="114" t="s">
        <v>709</v>
      </c>
    </row>
    <row r="283" spans="1:7" ht="171" x14ac:dyDescent="0.2">
      <c r="A283" s="144"/>
      <c r="B283" s="145"/>
      <c r="C283" s="116" t="s">
        <v>986</v>
      </c>
      <c r="D283" s="114" t="s">
        <v>839</v>
      </c>
      <c r="E283" s="148" t="s">
        <v>983</v>
      </c>
      <c r="F283" s="113" t="s">
        <v>4052</v>
      </c>
      <c r="G283" s="113" t="s">
        <v>4371</v>
      </c>
    </row>
    <row r="284" spans="1:7" ht="57" x14ac:dyDescent="0.2">
      <c r="A284" s="144"/>
      <c r="B284" s="145"/>
      <c r="C284" s="116" t="s">
        <v>987</v>
      </c>
      <c r="D284" s="114" t="s">
        <v>842</v>
      </c>
      <c r="E284" s="148" t="s">
        <v>985</v>
      </c>
      <c r="F284" s="113" t="s">
        <v>4053</v>
      </c>
      <c r="G284" s="114" t="s">
        <v>709</v>
      </c>
    </row>
    <row r="285" spans="1:7" ht="57" x14ac:dyDescent="0.2">
      <c r="A285" s="144"/>
      <c r="B285" s="145"/>
      <c r="C285" s="116" t="s">
        <v>988</v>
      </c>
      <c r="D285" s="113" t="s">
        <v>4604</v>
      </c>
      <c r="E285" s="148" t="s">
        <v>989</v>
      </c>
      <c r="F285" s="113" t="s">
        <v>4054</v>
      </c>
      <c r="G285" s="113" t="s">
        <v>654</v>
      </c>
    </row>
    <row r="286" spans="1:7" ht="57" x14ac:dyDescent="0.2">
      <c r="A286" s="144"/>
      <c r="B286" s="145"/>
      <c r="C286" s="116" t="s">
        <v>990</v>
      </c>
      <c r="D286" s="113" t="s">
        <v>4605</v>
      </c>
      <c r="E286" s="148" t="s">
        <v>991</v>
      </c>
      <c r="F286" s="113" t="s">
        <v>4055</v>
      </c>
      <c r="G286" s="114" t="s">
        <v>659</v>
      </c>
    </row>
    <row r="287" spans="1:7" ht="57" x14ac:dyDescent="0.2">
      <c r="A287" s="144"/>
      <c r="B287" s="145"/>
      <c r="C287" s="116" t="s">
        <v>992</v>
      </c>
      <c r="D287" s="113" t="s">
        <v>661</v>
      </c>
      <c r="E287" s="148" t="s">
        <v>993</v>
      </c>
      <c r="F287" s="113" t="s">
        <v>4056</v>
      </c>
      <c r="G287" s="114" t="s">
        <v>4027</v>
      </c>
    </row>
    <row r="288" spans="1:7" ht="57" x14ac:dyDescent="0.2">
      <c r="A288" s="144"/>
      <c r="B288" s="145"/>
      <c r="C288" s="116" t="s">
        <v>994</v>
      </c>
      <c r="D288" s="113" t="s">
        <v>4606</v>
      </c>
      <c r="E288" s="148" t="s">
        <v>991</v>
      </c>
      <c r="F288" s="113" t="s">
        <v>4055</v>
      </c>
      <c r="G288" s="113" t="s">
        <v>667</v>
      </c>
    </row>
    <row r="289" spans="1:7" ht="57" x14ac:dyDescent="0.2">
      <c r="A289" s="144"/>
      <c r="B289" s="145"/>
      <c r="C289" s="116" t="s">
        <v>995</v>
      </c>
      <c r="D289" s="113" t="s">
        <v>646</v>
      </c>
      <c r="E289" s="148" t="s">
        <v>996</v>
      </c>
      <c r="F289" s="113" t="s">
        <v>4057</v>
      </c>
      <c r="G289" s="114"/>
    </row>
    <row r="290" spans="1:7" ht="57" x14ac:dyDescent="0.2">
      <c r="A290" s="144"/>
      <c r="B290" s="145"/>
      <c r="C290" s="155" t="s">
        <v>997</v>
      </c>
      <c r="D290" s="113" t="s">
        <v>649</v>
      </c>
      <c r="E290" s="148" t="s">
        <v>996</v>
      </c>
      <c r="F290" s="113" t="s">
        <v>4057</v>
      </c>
      <c r="G290" s="114"/>
    </row>
    <row r="291" spans="1:7" ht="57" x14ac:dyDescent="0.2">
      <c r="A291" s="144"/>
      <c r="B291" s="145"/>
      <c r="C291" s="155" t="s">
        <v>998</v>
      </c>
      <c r="D291" s="113" t="s">
        <v>4607</v>
      </c>
      <c r="E291" s="148" t="s">
        <v>991</v>
      </c>
      <c r="F291" s="113" t="s">
        <v>4055</v>
      </c>
      <c r="G291" s="113" t="s">
        <v>667</v>
      </c>
    </row>
    <row r="292" spans="1:7" ht="57" x14ac:dyDescent="0.2">
      <c r="A292" s="144"/>
      <c r="B292" s="145"/>
      <c r="C292" s="155" t="s">
        <v>999</v>
      </c>
      <c r="D292" s="113" t="s">
        <v>4608</v>
      </c>
      <c r="E292" s="148" t="s">
        <v>991</v>
      </c>
      <c r="F292" s="113" t="s">
        <v>4055</v>
      </c>
      <c r="G292" s="113" t="s">
        <v>667</v>
      </c>
    </row>
    <row r="293" spans="1:7" ht="15" x14ac:dyDescent="0.25">
      <c r="A293" s="224" t="s">
        <v>4351</v>
      </c>
      <c r="B293" s="224"/>
      <c r="C293" s="224"/>
      <c r="D293" s="224"/>
      <c r="E293" s="224"/>
      <c r="F293" s="224"/>
      <c r="G293" s="224"/>
    </row>
    <row r="294" spans="1:7" ht="28.5" x14ac:dyDescent="0.2">
      <c r="A294" s="144"/>
      <c r="B294" s="145"/>
      <c r="C294" s="116" t="s">
        <v>1000</v>
      </c>
      <c r="D294" s="113" t="s">
        <v>351</v>
      </c>
      <c r="E294" s="113" t="s">
        <v>1001</v>
      </c>
      <c r="F294" s="113" t="s">
        <v>4609</v>
      </c>
      <c r="G294" s="113" t="s">
        <v>3985</v>
      </c>
    </row>
    <row r="295" spans="1:7" ht="28.5" x14ac:dyDescent="0.2">
      <c r="A295" s="144"/>
      <c r="B295" s="145"/>
      <c r="C295" s="116" t="s">
        <v>1002</v>
      </c>
      <c r="D295" s="113" t="s">
        <v>354</v>
      </c>
      <c r="E295" s="113" t="s">
        <v>1003</v>
      </c>
      <c r="F295" s="113" t="s">
        <v>4609</v>
      </c>
      <c r="G295" s="119"/>
    </row>
    <row r="296" spans="1:7" ht="42.75" x14ac:dyDescent="0.2">
      <c r="A296" s="144"/>
      <c r="B296" s="145"/>
      <c r="C296" s="116" t="s">
        <v>1004</v>
      </c>
      <c r="D296" s="113" t="s">
        <v>357</v>
      </c>
      <c r="E296" s="113" t="s">
        <v>934</v>
      </c>
      <c r="F296" s="113" t="s">
        <v>4060</v>
      </c>
      <c r="G296" s="119"/>
    </row>
    <row r="297" spans="1:7" ht="42.75" x14ac:dyDescent="0.2">
      <c r="A297" s="144"/>
      <c r="B297" s="145"/>
      <c r="C297" s="116" t="s">
        <v>1005</v>
      </c>
      <c r="D297" s="113" t="s">
        <v>360</v>
      </c>
      <c r="E297" s="113" t="s">
        <v>1006</v>
      </c>
      <c r="F297" s="113" t="s">
        <v>4061</v>
      </c>
      <c r="G297" s="113" t="s">
        <v>363</v>
      </c>
    </row>
    <row r="298" spans="1:7" ht="114" x14ac:dyDescent="0.2">
      <c r="A298" s="144"/>
      <c r="B298" s="145"/>
      <c r="C298" s="116" t="s">
        <v>1007</v>
      </c>
      <c r="D298" s="113" t="s">
        <v>4600</v>
      </c>
      <c r="E298" s="113" t="s">
        <v>1008</v>
      </c>
      <c r="F298" s="113" t="s">
        <v>4062</v>
      </c>
      <c r="G298" s="119"/>
    </row>
    <row r="299" spans="1:7" ht="85.5" x14ac:dyDescent="0.2">
      <c r="A299" s="144"/>
      <c r="B299" s="145"/>
      <c r="C299" s="116" t="s">
        <v>1009</v>
      </c>
      <c r="D299" s="113" t="s">
        <v>373</v>
      </c>
      <c r="E299" s="113" t="s">
        <v>1010</v>
      </c>
      <c r="F299" s="113" t="s">
        <v>4063</v>
      </c>
      <c r="G299" s="114" t="s">
        <v>4025</v>
      </c>
    </row>
    <row r="300" spans="1:7" ht="57" x14ac:dyDescent="0.2">
      <c r="A300" s="144"/>
      <c r="B300" s="145"/>
      <c r="C300" s="116" t="s">
        <v>1011</v>
      </c>
      <c r="D300" s="113" t="s">
        <v>27</v>
      </c>
      <c r="E300" s="113" t="s">
        <v>942</v>
      </c>
      <c r="F300" s="114" t="s">
        <v>4064</v>
      </c>
      <c r="G300" s="119"/>
    </row>
    <row r="301" spans="1:7" ht="85.5" x14ac:dyDescent="0.2">
      <c r="A301" s="144"/>
      <c r="B301" s="145"/>
      <c r="C301" s="116" t="s">
        <v>1012</v>
      </c>
      <c r="D301" s="113" t="s">
        <v>392</v>
      </c>
      <c r="E301" s="113" t="s">
        <v>944</v>
      </c>
      <c r="F301" s="114" t="s">
        <v>4065</v>
      </c>
      <c r="G301" s="119"/>
    </row>
    <row r="302" spans="1:7" ht="71.25" x14ac:dyDescent="0.2">
      <c r="A302" s="144"/>
      <c r="B302" s="145"/>
      <c r="C302" s="116" t="s">
        <v>1013</v>
      </c>
      <c r="D302" s="113" t="s">
        <v>4601</v>
      </c>
      <c r="E302" s="113" t="s">
        <v>1014</v>
      </c>
      <c r="F302" s="113" t="s">
        <v>4882</v>
      </c>
      <c r="G302" s="119"/>
    </row>
    <row r="303" spans="1:7" ht="71.25" x14ac:dyDescent="0.2">
      <c r="A303" s="144"/>
      <c r="B303" s="145"/>
      <c r="C303" s="116" t="s">
        <v>1015</v>
      </c>
      <c r="D303" s="113" t="s">
        <v>4058</v>
      </c>
      <c r="E303" s="113" t="s">
        <v>948</v>
      </c>
      <c r="F303" s="113" t="s">
        <v>4066</v>
      </c>
      <c r="G303" s="113" t="s">
        <v>4504</v>
      </c>
    </row>
    <row r="304" spans="1:7" ht="57" x14ac:dyDescent="0.2">
      <c r="A304" s="144"/>
      <c r="B304" s="145"/>
      <c r="C304" s="116" t="s">
        <v>1016</v>
      </c>
      <c r="D304" s="113" t="s">
        <v>399</v>
      </c>
      <c r="E304" s="113" t="s">
        <v>942</v>
      </c>
      <c r="F304" s="114" t="s">
        <v>4067</v>
      </c>
      <c r="G304" s="119"/>
    </row>
    <row r="305" spans="1:7" ht="85.5" x14ac:dyDescent="0.2">
      <c r="A305" s="144"/>
      <c r="B305" s="145"/>
      <c r="C305" s="116" t="s">
        <v>1017</v>
      </c>
      <c r="D305" s="113" t="s">
        <v>4059</v>
      </c>
      <c r="E305" s="148" t="s">
        <v>951</v>
      </c>
      <c r="F305" s="113" t="s">
        <v>4883</v>
      </c>
      <c r="G305" s="119"/>
    </row>
    <row r="306" spans="1:7" ht="71.25" x14ac:dyDescent="0.2">
      <c r="A306" s="144"/>
      <c r="B306" s="145"/>
      <c r="C306" s="116" t="s">
        <v>1018</v>
      </c>
      <c r="D306" s="113" t="s">
        <v>406</v>
      </c>
      <c r="E306" s="148" t="s">
        <v>953</v>
      </c>
      <c r="F306" s="113" t="s">
        <v>4610</v>
      </c>
      <c r="G306" s="113" t="s">
        <v>4368</v>
      </c>
    </row>
    <row r="307" spans="1:7" ht="71.25" x14ac:dyDescent="0.2">
      <c r="A307" s="144"/>
      <c r="B307" s="145"/>
      <c r="C307" s="116" t="s">
        <v>1019</v>
      </c>
      <c r="D307" s="113" t="s">
        <v>411</v>
      </c>
      <c r="E307" s="148" t="s">
        <v>955</v>
      </c>
      <c r="F307" s="114" t="s">
        <v>4068</v>
      </c>
      <c r="G307" s="113" t="s">
        <v>4372</v>
      </c>
    </row>
    <row r="308" spans="1:7" ht="156.75" x14ac:dyDescent="0.2">
      <c r="A308" s="144"/>
      <c r="B308" s="145"/>
      <c r="C308" s="116" t="s">
        <v>1020</v>
      </c>
      <c r="D308" s="113" t="s">
        <v>1194</v>
      </c>
      <c r="E308" s="113" t="s">
        <v>957</v>
      </c>
      <c r="F308" s="113" t="s">
        <v>4611</v>
      </c>
      <c r="G308" s="113" t="s">
        <v>4075</v>
      </c>
    </row>
    <row r="309" spans="1:7" ht="71.25" x14ac:dyDescent="0.2">
      <c r="A309" s="144"/>
      <c r="B309" s="145"/>
      <c r="C309" s="116" t="s">
        <v>1021</v>
      </c>
      <c r="D309" s="113" t="s">
        <v>1419</v>
      </c>
      <c r="E309" s="148" t="s">
        <v>959</v>
      </c>
      <c r="F309" s="113" t="s">
        <v>4612</v>
      </c>
      <c r="G309" s="114"/>
    </row>
    <row r="310" spans="1:7" ht="42.75" x14ac:dyDescent="0.2">
      <c r="A310" s="144"/>
      <c r="B310" s="145"/>
      <c r="C310" s="116" t="s">
        <v>1022</v>
      </c>
      <c r="D310" s="113" t="s">
        <v>508</v>
      </c>
      <c r="E310" s="113" t="s">
        <v>961</v>
      </c>
      <c r="F310" s="113" t="s">
        <v>4069</v>
      </c>
      <c r="G310" s="114" t="s">
        <v>511</v>
      </c>
    </row>
    <row r="311" spans="1:7" ht="42.75" x14ac:dyDescent="0.2">
      <c r="A311" s="144"/>
      <c r="B311" s="145"/>
      <c r="C311" s="116" t="s">
        <v>1023</v>
      </c>
      <c r="D311" s="113" t="s">
        <v>513</v>
      </c>
      <c r="E311" s="113" t="s">
        <v>963</v>
      </c>
      <c r="F311" s="113" t="s">
        <v>4070</v>
      </c>
      <c r="G311" s="113" t="s">
        <v>516</v>
      </c>
    </row>
    <row r="312" spans="1:7" ht="242.25" x14ac:dyDescent="0.2">
      <c r="A312" s="144"/>
      <c r="B312" s="145"/>
      <c r="C312" s="116" t="s">
        <v>1024</v>
      </c>
      <c r="D312" s="113" t="s">
        <v>572</v>
      </c>
      <c r="E312" s="146" t="s">
        <v>965</v>
      </c>
      <c r="F312" s="120" t="s">
        <v>4613</v>
      </c>
      <c r="G312" s="119"/>
    </row>
    <row r="313" spans="1:7" ht="242.25" x14ac:dyDescent="0.2">
      <c r="A313" s="144"/>
      <c r="B313" s="145"/>
      <c r="C313" s="116" t="s">
        <v>1025</v>
      </c>
      <c r="D313" s="113" t="s">
        <v>575</v>
      </c>
      <c r="E313" s="146" t="s">
        <v>967</v>
      </c>
      <c r="F313" s="113" t="s">
        <v>4614</v>
      </c>
      <c r="G313" s="113" t="s">
        <v>4373</v>
      </c>
    </row>
    <row r="314" spans="1:7" ht="228" x14ac:dyDescent="0.2">
      <c r="A314" s="144"/>
      <c r="B314" s="145"/>
      <c r="C314" s="155" t="s">
        <v>1026</v>
      </c>
      <c r="D314" s="113" t="s">
        <v>4023</v>
      </c>
      <c r="E314" s="146" t="s">
        <v>1027</v>
      </c>
      <c r="F314" s="120" t="s">
        <v>4359</v>
      </c>
      <c r="G314" s="113"/>
    </row>
    <row r="315" spans="1:7" ht="199.5" x14ac:dyDescent="0.2">
      <c r="A315" s="144"/>
      <c r="B315" s="145"/>
      <c r="C315" s="155" t="s">
        <v>1028</v>
      </c>
      <c r="D315" s="113" t="s">
        <v>604</v>
      </c>
      <c r="E315" s="146" t="s">
        <v>971</v>
      </c>
      <c r="F315" s="120" t="s">
        <v>4360</v>
      </c>
      <c r="G315" s="113"/>
    </row>
    <row r="316" spans="1:7" ht="156.75" x14ac:dyDescent="0.2">
      <c r="A316" s="144"/>
      <c r="B316" s="145"/>
      <c r="C316" s="155" t="s">
        <v>1029</v>
      </c>
      <c r="D316" s="113" t="s">
        <v>607</v>
      </c>
      <c r="E316" s="146" t="s">
        <v>973</v>
      </c>
      <c r="F316" s="113" t="s">
        <v>4615</v>
      </c>
      <c r="G316" s="113"/>
    </row>
    <row r="317" spans="1:7" ht="42.75" x14ac:dyDescent="0.2">
      <c r="A317" s="144"/>
      <c r="B317" s="145"/>
      <c r="C317" s="116" t="s">
        <v>1030</v>
      </c>
      <c r="D317" s="113" t="s">
        <v>611</v>
      </c>
      <c r="E317" s="148" t="s">
        <v>975</v>
      </c>
      <c r="F317" s="113" t="s">
        <v>4071</v>
      </c>
      <c r="G317" s="114" t="s">
        <v>614</v>
      </c>
    </row>
    <row r="318" spans="1:7" ht="57" x14ac:dyDescent="0.2">
      <c r="A318" s="144"/>
      <c r="B318" s="145"/>
      <c r="C318" s="116" t="s">
        <v>1031</v>
      </c>
      <c r="D318" s="113" t="s">
        <v>616</v>
      </c>
      <c r="E318" s="113" t="s">
        <v>1032</v>
      </c>
      <c r="F318" s="114" t="s">
        <v>4072</v>
      </c>
      <c r="G318" s="114" t="s">
        <v>4076</v>
      </c>
    </row>
    <row r="319" spans="1:7" ht="42.75" x14ac:dyDescent="0.2">
      <c r="A319" s="144"/>
      <c r="B319" s="145"/>
      <c r="C319" s="116" t="s">
        <v>1033</v>
      </c>
      <c r="D319" s="113" t="s">
        <v>689</v>
      </c>
      <c r="E319" s="148" t="s">
        <v>1034</v>
      </c>
      <c r="F319" s="113" t="s">
        <v>4073</v>
      </c>
      <c r="G319" s="113" t="s">
        <v>692</v>
      </c>
    </row>
    <row r="320" spans="1:7" ht="85.5" x14ac:dyDescent="0.2">
      <c r="A320" s="144"/>
      <c r="B320" s="145"/>
      <c r="C320" s="116" t="s">
        <v>1035</v>
      </c>
      <c r="D320" s="113" t="s">
        <v>4024</v>
      </c>
      <c r="E320" s="113" t="s">
        <v>981</v>
      </c>
      <c r="F320" s="113" t="s">
        <v>4884</v>
      </c>
      <c r="G320" s="113" t="s">
        <v>682</v>
      </c>
    </row>
    <row r="321" spans="1:7" ht="171" x14ac:dyDescent="0.2">
      <c r="A321" s="144"/>
      <c r="B321" s="145"/>
      <c r="C321" s="116" t="s">
        <v>1036</v>
      </c>
      <c r="D321" s="113" t="s">
        <v>4603</v>
      </c>
      <c r="E321" s="148" t="s">
        <v>983</v>
      </c>
      <c r="F321" s="113" t="s">
        <v>4616</v>
      </c>
      <c r="G321" s="113" t="s">
        <v>4371</v>
      </c>
    </row>
    <row r="322" spans="1:7" ht="71.25" x14ac:dyDescent="0.2">
      <c r="A322" s="144"/>
      <c r="B322" s="145"/>
      <c r="C322" s="116" t="s">
        <v>1037</v>
      </c>
      <c r="D322" s="113" t="s">
        <v>1351</v>
      </c>
      <c r="E322" s="148" t="s">
        <v>985</v>
      </c>
      <c r="F322" s="113" t="s">
        <v>4617</v>
      </c>
      <c r="G322" s="113" t="s">
        <v>4374</v>
      </c>
    </row>
    <row r="323" spans="1:7" ht="171" x14ac:dyDescent="0.2">
      <c r="A323" s="144"/>
      <c r="B323" s="145"/>
      <c r="C323" s="116" t="s">
        <v>1038</v>
      </c>
      <c r="D323" s="114" t="s">
        <v>839</v>
      </c>
      <c r="E323" s="148" t="s">
        <v>983</v>
      </c>
      <c r="F323" s="113" t="s">
        <v>4618</v>
      </c>
      <c r="G323" s="113" t="s">
        <v>4371</v>
      </c>
    </row>
    <row r="324" spans="1:7" ht="71.25" x14ac:dyDescent="0.2">
      <c r="A324" s="144"/>
      <c r="B324" s="145"/>
      <c r="C324" s="116" t="s">
        <v>1039</v>
      </c>
      <c r="D324" s="114" t="s">
        <v>842</v>
      </c>
      <c r="E324" s="148" t="s">
        <v>985</v>
      </c>
      <c r="F324" s="113" t="s">
        <v>4619</v>
      </c>
      <c r="G324" s="114" t="s">
        <v>709</v>
      </c>
    </row>
    <row r="325" spans="1:7" ht="71.25" x14ac:dyDescent="0.2">
      <c r="A325" s="144"/>
      <c r="B325" s="145"/>
      <c r="C325" s="116" t="s">
        <v>1040</v>
      </c>
      <c r="D325" s="113" t="s">
        <v>4604</v>
      </c>
      <c r="E325" s="148" t="s">
        <v>989</v>
      </c>
      <c r="F325" s="113" t="s">
        <v>4620</v>
      </c>
      <c r="G325" s="113" t="s">
        <v>4885</v>
      </c>
    </row>
    <row r="326" spans="1:7" ht="71.25" x14ac:dyDescent="0.2">
      <c r="A326" s="144"/>
      <c r="B326" s="145"/>
      <c r="C326" s="116" t="s">
        <v>1041</v>
      </c>
      <c r="D326" s="113" t="s">
        <v>4605</v>
      </c>
      <c r="E326" s="148" t="s">
        <v>991</v>
      </c>
      <c r="F326" s="113" t="s">
        <v>4621</v>
      </c>
      <c r="G326" s="113" t="s">
        <v>4077</v>
      </c>
    </row>
    <row r="327" spans="1:7" ht="71.25" x14ac:dyDescent="0.2">
      <c r="A327" s="144"/>
      <c r="B327" s="145"/>
      <c r="C327" s="116" t="s">
        <v>1042</v>
      </c>
      <c r="D327" s="113" t="s">
        <v>661</v>
      </c>
      <c r="E327" s="148" t="s">
        <v>993</v>
      </c>
      <c r="F327" s="113" t="s">
        <v>4622</v>
      </c>
      <c r="G327" s="114" t="s">
        <v>4027</v>
      </c>
    </row>
    <row r="328" spans="1:7" ht="71.25" x14ac:dyDescent="0.2">
      <c r="A328" s="144"/>
      <c r="B328" s="145"/>
      <c r="C328" s="116" t="s">
        <v>1043</v>
      </c>
      <c r="D328" s="113" t="s">
        <v>4606</v>
      </c>
      <c r="E328" s="148" t="s">
        <v>991</v>
      </c>
      <c r="F328" s="113" t="s">
        <v>4621</v>
      </c>
      <c r="G328" s="113" t="s">
        <v>4375</v>
      </c>
    </row>
    <row r="329" spans="1:7" ht="71.25" x14ac:dyDescent="0.2">
      <c r="A329" s="144"/>
      <c r="B329" s="145"/>
      <c r="C329" s="116" t="s">
        <v>1044</v>
      </c>
      <c r="D329" s="113" t="s">
        <v>646</v>
      </c>
      <c r="E329" s="148" t="s">
        <v>996</v>
      </c>
      <c r="F329" s="113" t="s">
        <v>4623</v>
      </c>
      <c r="G329" s="114"/>
    </row>
    <row r="330" spans="1:7" ht="85.5" x14ac:dyDescent="0.2">
      <c r="A330" s="144"/>
      <c r="B330" s="145"/>
      <c r="C330" s="155" t="s">
        <v>1045</v>
      </c>
      <c r="D330" s="113" t="s">
        <v>649</v>
      </c>
      <c r="E330" s="148" t="s">
        <v>996</v>
      </c>
      <c r="F330" s="113" t="s">
        <v>4074</v>
      </c>
      <c r="G330" s="114"/>
    </row>
    <row r="331" spans="1:7" ht="71.25" x14ac:dyDescent="0.2">
      <c r="A331" s="144"/>
      <c r="B331" s="145"/>
      <c r="C331" s="116" t="s">
        <v>1046</v>
      </c>
      <c r="D331" s="113" t="s">
        <v>4624</v>
      </c>
      <c r="E331" s="148" t="s">
        <v>991</v>
      </c>
      <c r="F331" s="113" t="s">
        <v>4621</v>
      </c>
      <c r="G331" s="113" t="s">
        <v>4376</v>
      </c>
    </row>
    <row r="332" spans="1:7" ht="71.25" x14ac:dyDescent="0.2">
      <c r="A332" s="144"/>
      <c r="B332" s="145"/>
      <c r="C332" s="155" t="s">
        <v>1047</v>
      </c>
      <c r="D332" s="113" t="s">
        <v>4608</v>
      </c>
      <c r="E332" s="148" t="s">
        <v>991</v>
      </c>
      <c r="F332" s="113" t="s">
        <v>4621</v>
      </c>
      <c r="G332" s="113" t="s">
        <v>4376</v>
      </c>
    </row>
    <row r="333" spans="1:7" ht="15" x14ac:dyDescent="0.25">
      <c r="A333" s="224" t="s">
        <v>4352</v>
      </c>
      <c r="B333" s="224"/>
      <c r="C333" s="224"/>
      <c r="D333" s="224"/>
      <c r="E333" s="224"/>
      <c r="F333" s="224"/>
      <c r="G333" s="224"/>
    </row>
    <row r="334" spans="1:7" ht="228" x14ac:dyDescent="0.2">
      <c r="A334" s="144"/>
      <c r="B334" s="145"/>
      <c r="C334" s="115" t="s">
        <v>1048</v>
      </c>
      <c r="D334" s="115" t="s">
        <v>4078</v>
      </c>
      <c r="E334" s="113" t="s">
        <v>3123</v>
      </c>
      <c r="F334" s="113" t="s">
        <v>4625</v>
      </c>
      <c r="G334" s="113" t="s">
        <v>4377</v>
      </c>
    </row>
    <row r="335" spans="1:7" ht="128.25" x14ac:dyDescent="0.2">
      <c r="A335" s="144"/>
      <c r="B335" s="145"/>
      <c r="C335" s="115" t="s">
        <v>1049</v>
      </c>
      <c r="D335" s="115" t="s">
        <v>1607</v>
      </c>
      <c r="E335" s="113" t="s">
        <v>3124</v>
      </c>
      <c r="F335" s="113" t="s">
        <v>4626</v>
      </c>
      <c r="G335" s="113" t="s">
        <v>4378</v>
      </c>
    </row>
    <row r="336" spans="1:7" ht="42.75" x14ac:dyDescent="0.2">
      <c r="A336" s="144"/>
      <c r="B336" s="145"/>
      <c r="C336" s="115" t="s">
        <v>1050</v>
      </c>
      <c r="D336" s="115" t="s">
        <v>4474</v>
      </c>
      <c r="E336" s="113" t="s">
        <v>2169</v>
      </c>
      <c r="F336" s="113" t="s">
        <v>4379</v>
      </c>
      <c r="G336" s="113" t="s">
        <v>4378</v>
      </c>
    </row>
    <row r="337" spans="1:7" ht="85.5" x14ac:dyDescent="0.2">
      <c r="A337" s="144"/>
      <c r="B337" s="145"/>
      <c r="C337" s="115" t="s">
        <v>1051</v>
      </c>
      <c r="D337" s="115" t="s">
        <v>4628</v>
      </c>
      <c r="E337" s="113" t="s">
        <v>3250</v>
      </c>
      <c r="F337" s="113" t="s">
        <v>4627</v>
      </c>
      <c r="G337" s="113" t="s">
        <v>4380</v>
      </c>
    </row>
    <row r="338" spans="1:7" ht="28.5" x14ac:dyDescent="0.2">
      <c r="A338" s="144"/>
      <c r="B338" s="145"/>
      <c r="C338" s="115" t="s">
        <v>1052</v>
      </c>
      <c r="D338" s="115" t="s">
        <v>1616</v>
      </c>
      <c r="E338" s="113" t="s">
        <v>3125</v>
      </c>
      <c r="F338" s="113" t="s">
        <v>4381</v>
      </c>
      <c r="G338" s="113" t="s">
        <v>4378</v>
      </c>
    </row>
    <row r="339" spans="1:7" ht="42.75" x14ac:dyDescent="0.2">
      <c r="A339" s="144"/>
      <c r="B339" s="145"/>
      <c r="C339" s="115" t="s">
        <v>1053</v>
      </c>
      <c r="D339" s="115" t="s">
        <v>1619</v>
      </c>
      <c r="E339" s="113" t="s">
        <v>3126</v>
      </c>
      <c r="F339" s="113" t="s">
        <v>4383</v>
      </c>
      <c r="G339" s="113" t="s">
        <v>4378</v>
      </c>
    </row>
    <row r="340" spans="1:7" ht="409.5" x14ac:dyDescent="0.2">
      <c r="A340" s="144"/>
      <c r="B340" s="145"/>
      <c r="C340" s="115" t="s">
        <v>1054</v>
      </c>
      <c r="D340" s="115" t="s">
        <v>4382</v>
      </c>
      <c r="E340" s="113" t="s">
        <v>3127</v>
      </c>
      <c r="F340" s="113" t="s">
        <v>4521</v>
      </c>
      <c r="G340" s="113" t="s">
        <v>4520</v>
      </c>
    </row>
    <row r="341" spans="1:7" ht="114" x14ac:dyDescent="0.2">
      <c r="A341" s="144"/>
      <c r="B341" s="145"/>
      <c r="C341" s="115" t="s">
        <v>1055</v>
      </c>
      <c r="D341" s="115" t="s">
        <v>4080</v>
      </c>
      <c r="E341" s="113" t="s">
        <v>3249</v>
      </c>
      <c r="F341" s="113" t="s">
        <v>4384</v>
      </c>
      <c r="G341" s="113" t="s">
        <v>4378</v>
      </c>
    </row>
    <row r="342" spans="1:7" ht="156.75" x14ac:dyDescent="0.2">
      <c r="A342" s="144"/>
      <c r="B342" s="145"/>
      <c r="C342" s="115" t="s">
        <v>1056</v>
      </c>
      <c r="D342" s="115" t="s">
        <v>1632</v>
      </c>
      <c r="E342" s="113" t="s">
        <v>3128</v>
      </c>
      <c r="F342" s="113" t="s">
        <v>4385</v>
      </c>
      <c r="G342" s="113" t="s">
        <v>4522</v>
      </c>
    </row>
    <row r="343" spans="1:7" ht="156.75" x14ac:dyDescent="0.2">
      <c r="A343" s="144"/>
      <c r="B343" s="145"/>
      <c r="C343" s="115" t="s">
        <v>1057</v>
      </c>
      <c r="D343" s="115" t="s">
        <v>4387</v>
      </c>
      <c r="E343" s="113" t="s">
        <v>3129</v>
      </c>
      <c r="F343" s="113" t="s">
        <v>4386</v>
      </c>
      <c r="G343" s="113" t="s">
        <v>4389</v>
      </c>
    </row>
    <row r="344" spans="1:7" ht="42.75" x14ac:dyDescent="0.2">
      <c r="A344" s="144"/>
      <c r="B344" s="145"/>
      <c r="C344" s="115" t="s">
        <v>1058</v>
      </c>
      <c r="D344" s="115" t="s">
        <v>4388</v>
      </c>
      <c r="E344" s="113" t="s">
        <v>3126</v>
      </c>
      <c r="F344" s="113" t="s">
        <v>4390</v>
      </c>
      <c r="G344" s="113" t="s">
        <v>4378</v>
      </c>
    </row>
    <row r="345" spans="1:7" ht="156.75" x14ac:dyDescent="0.2">
      <c r="A345" s="144"/>
      <c r="B345" s="145"/>
      <c r="C345" s="115" t="s">
        <v>1059</v>
      </c>
      <c r="D345" s="115" t="s">
        <v>1639</v>
      </c>
      <c r="E345" s="113" t="s">
        <v>3130</v>
      </c>
      <c r="F345" s="113" t="s">
        <v>4391</v>
      </c>
      <c r="G345" s="113" t="s">
        <v>4523</v>
      </c>
    </row>
    <row r="346" spans="1:7" ht="156.75" x14ac:dyDescent="0.2">
      <c r="A346" s="144"/>
      <c r="B346" s="145"/>
      <c r="C346" s="115" t="s">
        <v>1060</v>
      </c>
      <c r="D346" s="115" t="s">
        <v>1642</v>
      </c>
      <c r="E346" s="113" t="s">
        <v>3131</v>
      </c>
      <c r="F346" s="113" t="s">
        <v>4392</v>
      </c>
      <c r="G346" s="113" t="s">
        <v>4524</v>
      </c>
    </row>
    <row r="347" spans="1:7" ht="407.25" customHeight="1" x14ac:dyDescent="0.2">
      <c r="A347" s="144"/>
      <c r="B347" s="145"/>
      <c r="C347" s="115" t="s">
        <v>1061</v>
      </c>
      <c r="D347" s="115" t="s">
        <v>4525</v>
      </c>
      <c r="E347" s="113" t="s">
        <v>3132</v>
      </c>
      <c r="F347" s="113" t="s">
        <v>4526</v>
      </c>
      <c r="G347" s="113" t="s">
        <v>4527</v>
      </c>
    </row>
    <row r="348" spans="1:7" ht="409.5" x14ac:dyDescent="0.2">
      <c r="A348" s="144"/>
      <c r="B348" s="145"/>
      <c r="C348" s="115" t="s">
        <v>1062</v>
      </c>
      <c r="D348" s="115" t="s">
        <v>4486</v>
      </c>
      <c r="E348" s="113" t="s">
        <v>3133</v>
      </c>
      <c r="F348" s="113" t="s">
        <v>4529</v>
      </c>
      <c r="G348" s="113" t="s">
        <v>4528</v>
      </c>
    </row>
    <row r="349" spans="1:7" ht="128.25" x14ac:dyDescent="0.2">
      <c r="A349" s="144"/>
      <c r="B349" s="145"/>
      <c r="C349" s="115" t="s">
        <v>1063</v>
      </c>
      <c r="D349" s="115" t="s">
        <v>4393</v>
      </c>
      <c r="E349" s="113" t="s">
        <v>1064</v>
      </c>
      <c r="F349" s="113" t="s">
        <v>4081</v>
      </c>
      <c r="G349" s="113" t="s">
        <v>4086</v>
      </c>
    </row>
    <row r="350" spans="1:7" ht="57" x14ac:dyDescent="0.2">
      <c r="A350" s="144"/>
      <c r="B350" s="145"/>
      <c r="C350" s="115" t="s">
        <v>1065</v>
      </c>
      <c r="D350" s="115" t="s">
        <v>1647</v>
      </c>
      <c r="E350" s="113" t="s">
        <v>3134</v>
      </c>
      <c r="F350" s="113" t="s">
        <v>4488</v>
      </c>
      <c r="G350" s="113" t="s">
        <v>4629</v>
      </c>
    </row>
    <row r="351" spans="1:7" ht="71.25" x14ac:dyDescent="0.2">
      <c r="A351" s="144"/>
      <c r="B351" s="145"/>
      <c r="C351" s="115" t="s">
        <v>1066</v>
      </c>
      <c r="D351" s="115" t="s">
        <v>4395</v>
      </c>
      <c r="E351" s="113" t="s">
        <v>3135</v>
      </c>
      <c r="F351" s="113" t="s">
        <v>4396</v>
      </c>
      <c r="G351" s="113" t="s">
        <v>4394</v>
      </c>
    </row>
    <row r="352" spans="1:7" ht="71.25" x14ac:dyDescent="0.2">
      <c r="A352" s="144"/>
      <c r="B352" s="145"/>
      <c r="C352" s="115" t="s">
        <v>1067</v>
      </c>
      <c r="D352" s="115" t="s">
        <v>4399</v>
      </c>
      <c r="E352" s="113" t="s">
        <v>3248</v>
      </c>
      <c r="F352" s="113" t="s">
        <v>4400</v>
      </c>
      <c r="G352" s="113" t="s">
        <v>4397</v>
      </c>
    </row>
    <row r="353" spans="1:7" ht="71.25" x14ac:dyDescent="0.2">
      <c r="A353" s="144"/>
      <c r="B353" s="145"/>
      <c r="C353" s="115" t="s">
        <v>1068</v>
      </c>
      <c r="D353" s="115" t="s">
        <v>4403</v>
      </c>
      <c r="E353" s="113" t="s">
        <v>3136</v>
      </c>
      <c r="F353" s="113" t="s">
        <v>4402</v>
      </c>
      <c r="G353" s="113" t="s">
        <v>4401</v>
      </c>
    </row>
    <row r="354" spans="1:7" ht="71.25" x14ac:dyDescent="0.2">
      <c r="A354" s="144"/>
      <c r="B354" s="145"/>
      <c r="C354" s="115" t="s">
        <v>1069</v>
      </c>
      <c r="D354" s="115" t="s">
        <v>4406</v>
      </c>
      <c r="E354" s="113" t="s">
        <v>3138</v>
      </c>
      <c r="F354" s="113" t="s">
        <v>4405</v>
      </c>
      <c r="G354" s="113" t="s">
        <v>4404</v>
      </c>
    </row>
    <row r="355" spans="1:7" ht="71.25" x14ac:dyDescent="0.2">
      <c r="A355" s="144"/>
      <c r="B355" s="145"/>
      <c r="C355" s="115" t="s">
        <v>1070</v>
      </c>
      <c r="D355" s="115" t="s">
        <v>4408</v>
      </c>
      <c r="E355" s="113" t="s">
        <v>3137</v>
      </c>
      <c r="F355" s="113" t="s">
        <v>4407</v>
      </c>
      <c r="G355" s="113" t="s">
        <v>4630</v>
      </c>
    </row>
    <row r="356" spans="1:7" ht="71.25" x14ac:dyDescent="0.2">
      <c r="A356" s="144"/>
      <c r="B356" s="145"/>
      <c r="C356" s="115" t="s">
        <v>1071</v>
      </c>
      <c r="D356" s="115" t="s">
        <v>4410</v>
      </c>
      <c r="E356" s="113" t="s">
        <v>3139</v>
      </c>
      <c r="F356" s="113" t="s">
        <v>4417</v>
      </c>
      <c r="G356" s="113" t="s">
        <v>4409</v>
      </c>
    </row>
    <row r="357" spans="1:7" ht="71.25" x14ac:dyDescent="0.2">
      <c r="A357" s="144"/>
      <c r="B357" s="145"/>
      <c r="C357" s="115" t="s">
        <v>1072</v>
      </c>
      <c r="D357" s="115" t="s">
        <v>4412</v>
      </c>
      <c r="E357" s="113" t="s">
        <v>3247</v>
      </c>
      <c r="F357" s="113" t="s">
        <v>4416</v>
      </c>
      <c r="G357" s="113" t="s">
        <v>4411</v>
      </c>
    </row>
    <row r="358" spans="1:7" ht="71.25" x14ac:dyDescent="0.2">
      <c r="A358" s="144"/>
      <c r="B358" s="145"/>
      <c r="C358" s="115" t="s">
        <v>1073</v>
      </c>
      <c r="D358" s="115" t="s">
        <v>4414</v>
      </c>
      <c r="E358" s="113" t="s">
        <v>3139</v>
      </c>
      <c r="F358" s="113" t="s">
        <v>4415</v>
      </c>
      <c r="G358" s="113" t="s">
        <v>4413</v>
      </c>
    </row>
    <row r="359" spans="1:7" ht="71.25" x14ac:dyDescent="0.2">
      <c r="A359" s="144"/>
      <c r="B359" s="145"/>
      <c r="C359" s="115" t="s">
        <v>1074</v>
      </c>
      <c r="D359" s="115" t="s">
        <v>4420</v>
      </c>
      <c r="E359" s="113" t="s">
        <v>3139</v>
      </c>
      <c r="F359" s="113" t="s">
        <v>4419</v>
      </c>
      <c r="G359" s="113" t="s">
        <v>4418</v>
      </c>
    </row>
    <row r="360" spans="1:7" ht="85.5" x14ac:dyDescent="0.2">
      <c r="A360" s="144"/>
      <c r="B360" s="145"/>
      <c r="C360" s="115" t="s">
        <v>1075</v>
      </c>
      <c r="D360" s="115" t="s">
        <v>4423</v>
      </c>
      <c r="E360" s="113" t="s">
        <v>3140</v>
      </c>
      <c r="F360" s="113" t="s">
        <v>4422</v>
      </c>
      <c r="G360" s="113" t="s">
        <v>4421</v>
      </c>
    </row>
    <row r="361" spans="1:7" ht="57" x14ac:dyDescent="0.2">
      <c r="A361" s="144"/>
      <c r="B361" s="145"/>
      <c r="C361" s="115" t="s">
        <v>1076</v>
      </c>
      <c r="D361" s="115" t="s">
        <v>4493</v>
      </c>
      <c r="E361" s="113" t="s">
        <v>3141</v>
      </c>
      <c r="F361" s="113" t="s">
        <v>4494</v>
      </c>
      <c r="G361" s="119"/>
    </row>
    <row r="362" spans="1:7" ht="57" x14ac:dyDescent="0.2">
      <c r="A362" s="144"/>
      <c r="B362" s="145"/>
      <c r="C362" s="115" t="s">
        <v>1077</v>
      </c>
      <c r="D362" s="115" t="s">
        <v>4631</v>
      </c>
      <c r="E362" s="113" t="s">
        <v>3142</v>
      </c>
      <c r="F362" s="113" t="s">
        <v>4495</v>
      </c>
      <c r="G362" s="119"/>
    </row>
    <row r="363" spans="1:7" ht="57" x14ac:dyDescent="0.2">
      <c r="A363" s="144"/>
      <c r="B363" s="145"/>
      <c r="C363" s="115" t="s">
        <v>1078</v>
      </c>
      <c r="D363" s="115" t="s">
        <v>4632</v>
      </c>
      <c r="E363" s="113" t="s">
        <v>3143</v>
      </c>
      <c r="F363" s="113" t="s">
        <v>4497</v>
      </c>
      <c r="G363" s="119"/>
    </row>
    <row r="364" spans="1:7" ht="71.25" x14ac:dyDescent="0.2">
      <c r="A364" s="144"/>
      <c r="B364" s="145"/>
      <c r="C364" s="115" t="s">
        <v>1079</v>
      </c>
      <c r="D364" s="115" t="s">
        <v>4426</v>
      </c>
      <c r="E364" s="113" t="s">
        <v>3144</v>
      </c>
      <c r="F364" s="113" t="s">
        <v>4425</v>
      </c>
      <c r="G364" s="113" t="s">
        <v>4424</v>
      </c>
    </row>
    <row r="365" spans="1:7" ht="71.25" x14ac:dyDescent="0.2">
      <c r="A365" s="144"/>
      <c r="B365" s="145"/>
      <c r="C365" s="115" t="s">
        <v>1080</v>
      </c>
      <c r="D365" s="115" t="s">
        <v>4428</v>
      </c>
      <c r="E365" s="113" t="s">
        <v>3145</v>
      </c>
      <c r="F365" s="113" t="s">
        <v>4427</v>
      </c>
      <c r="G365" s="113" t="s">
        <v>4429</v>
      </c>
    </row>
    <row r="366" spans="1:7" ht="71.25" x14ac:dyDescent="0.2">
      <c r="A366" s="144"/>
      <c r="B366" s="145"/>
      <c r="C366" s="115" t="s">
        <v>1081</v>
      </c>
      <c r="D366" s="115" t="s">
        <v>4431</v>
      </c>
      <c r="E366" s="113" t="s">
        <v>3146</v>
      </c>
      <c r="F366" s="113" t="s">
        <v>4430</v>
      </c>
      <c r="G366" s="113" t="s">
        <v>4530</v>
      </c>
    </row>
    <row r="367" spans="1:7" ht="71.25" x14ac:dyDescent="0.2">
      <c r="A367" s="144"/>
      <c r="B367" s="145"/>
      <c r="C367" s="115" t="s">
        <v>1082</v>
      </c>
      <c r="D367" s="115" t="s">
        <v>4434</v>
      </c>
      <c r="E367" s="113" t="s">
        <v>3147</v>
      </c>
      <c r="F367" s="113" t="s">
        <v>4433</v>
      </c>
      <c r="G367" s="113" t="s">
        <v>4432</v>
      </c>
    </row>
    <row r="368" spans="1:7" ht="71.25" x14ac:dyDescent="0.2">
      <c r="A368" s="144"/>
      <c r="B368" s="145"/>
      <c r="C368" s="115" t="s">
        <v>1083</v>
      </c>
      <c r="D368" s="115" t="s">
        <v>4555</v>
      </c>
      <c r="E368" s="113" t="s">
        <v>3148</v>
      </c>
      <c r="F368" s="113" t="s">
        <v>4436</v>
      </c>
      <c r="G368" s="113" t="s">
        <v>4435</v>
      </c>
    </row>
    <row r="369" spans="1:7" ht="71.25" x14ac:dyDescent="0.2">
      <c r="A369" s="144"/>
      <c r="B369" s="145"/>
      <c r="C369" s="115" t="s">
        <v>1084</v>
      </c>
      <c r="D369" s="115" t="s">
        <v>4557</v>
      </c>
      <c r="E369" s="113" t="s">
        <v>3149</v>
      </c>
      <c r="F369" s="113" t="s">
        <v>4438</v>
      </c>
      <c r="G369" s="113" t="s">
        <v>4437</v>
      </c>
    </row>
    <row r="370" spans="1:7" ht="71.25" x14ac:dyDescent="0.2">
      <c r="A370" s="144"/>
      <c r="B370" s="145"/>
      <c r="C370" s="115" t="s">
        <v>1085</v>
      </c>
      <c r="D370" s="115" t="s">
        <v>4558</v>
      </c>
      <c r="E370" s="113" t="s">
        <v>3150</v>
      </c>
      <c r="F370" s="113" t="s">
        <v>4083</v>
      </c>
      <c r="G370" s="113" t="s">
        <v>4439</v>
      </c>
    </row>
    <row r="371" spans="1:7" ht="71.25" x14ac:dyDescent="0.2">
      <c r="A371" s="144"/>
      <c r="B371" s="145"/>
      <c r="C371" s="115" t="s">
        <v>1086</v>
      </c>
      <c r="D371" s="115" t="s">
        <v>4559</v>
      </c>
      <c r="E371" s="113" t="s">
        <v>3151</v>
      </c>
      <c r="F371" s="113" t="s">
        <v>4084</v>
      </c>
      <c r="G371" s="113" t="s">
        <v>4440</v>
      </c>
    </row>
    <row r="372" spans="1:7" ht="128.25" x14ac:dyDescent="0.2">
      <c r="A372" s="144"/>
      <c r="B372" s="145"/>
      <c r="C372" s="115" t="s">
        <v>1087</v>
      </c>
      <c r="D372" s="115" t="s">
        <v>1668</v>
      </c>
      <c r="E372" s="113" t="s">
        <v>3152</v>
      </c>
      <c r="F372" s="113" t="s">
        <v>4636</v>
      </c>
      <c r="G372" s="113" t="s">
        <v>4441</v>
      </c>
    </row>
    <row r="373" spans="1:7" ht="42.75" x14ac:dyDescent="0.2">
      <c r="A373" s="144"/>
      <c r="B373" s="145"/>
      <c r="C373" s="115" t="s">
        <v>1088</v>
      </c>
      <c r="D373" s="115" t="s">
        <v>1672</v>
      </c>
      <c r="E373" s="113" t="s">
        <v>3153</v>
      </c>
      <c r="F373" s="113" t="s">
        <v>4633</v>
      </c>
      <c r="G373" s="113" t="s">
        <v>4441</v>
      </c>
    </row>
    <row r="374" spans="1:7" ht="57" x14ac:dyDescent="0.2">
      <c r="A374" s="144"/>
      <c r="B374" s="145"/>
      <c r="C374" s="115" t="s">
        <v>1089</v>
      </c>
      <c r="D374" s="115" t="s">
        <v>1675</v>
      </c>
      <c r="E374" s="156" t="s">
        <v>3154</v>
      </c>
      <c r="F374" s="113" t="s">
        <v>4634</v>
      </c>
      <c r="G374" s="113" t="s">
        <v>4442</v>
      </c>
    </row>
    <row r="375" spans="1:7" ht="71.25" x14ac:dyDescent="0.2">
      <c r="A375" s="144"/>
      <c r="B375" s="145"/>
      <c r="C375" s="115" t="s">
        <v>1090</v>
      </c>
      <c r="D375" s="115" t="s">
        <v>1677</v>
      </c>
      <c r="E375" s="113" t="s">
        <v>3155</v>
      </c>
      <c r="F375" s="113" t="s">
        <v>4635</v>
      </c>
      <c r="G375" s="113" t="s">
        <v>4441</v>
      </c>
    </row>
    <row r="376" spans="1:7" ht="185.25" x14ac:dyDescent="0.2">
      <c r="A376" s="144"/>
      <c r="B376" s="145"/>
      <c r="C376" s="115" t="s">
        <v>1091</v>
      </c>
      <c r="D376" s="115" t="s">
        <v>4637</v>
      </c>
      <c r="E376" s="113" t="s">
        <v>3156</v>
      </c>
      <c r="F376" s="113" t="s">
        <v>4638</v>
      </c>
      <c r="G376" s="113" t="s">
        <v>4886</v>
      </c>
    </row>
    <row r="377" spans="1:7" ht="128.25" x14ac:dyDescent="0.2">
      <c r="A377" s="144"/>
      <c r="B377" s="145"/>
      <c r="C377" s="115" t="s">
        <v>1092</v>
      </c>
      <c r="D377" s="115" t="s">
        <v>4443</v>
      </c>
      <c r="E377" s="113" t="s">
        <v>3157</v>
      </c>
      <c r="F377" s="113" t="s">
        <v>4445</v>
      </c>
      <c r="G377" s="113" t="s">
        <v>4444</v>
      </c>
    </row>
    <row r="378" spans="1:7" ht="85.5" x14ac:dyDescent="0.2">
      <c r="A378" s="144"/>
      <c r="B378" s="145"/>
      <c r="C378" s="115" t="s">
        <v>1093</v>
      </c>
      <c r="D378" s="115" t="s">
        <v>1687</v>
      </c>
      <c r="E378" s="113" t="s">
        <v>3158</v>
      </c>
      <c r="F378" s="113" t="s">
        <v>4887</v>
      </c>
      <c r="G378" s="113" t="s">
        <v>4446</v>
      </c>
    </row>
    <row r="379" spans="1:7" ht="356.25" x14ac:dyDescent="0.2">
      <c r="A379" s="144"/>
      <c r="B379" s="145"/>
      <c r="C379" s="115" t="s">
        <v>1094</v>
      </c>
      <c r="D379" s="115" t="s">
        <v>4639</v>
      </c>
      <c r="E379" s="113" t="s">
        <v>3159</v>
      </c>
      <c r="F379" s="113" t="s">
        <v>4640</v>
      </c>
      <c r="G379" s="113" t="s">
        <v>4447</v>
      </c>
    </row>
    <row r="380" spans="1:7" ht="399" x14ac:dyDescent="0.2">
      <c r="A380" s="144"/>
      <c r="B380" s="145"/>
      <c r="C380" s="115" t="s">
        <v>1095</v>
      </c>
      <c r="D380" s="115" t="s">
        <v>4448</v>
      </c>
      <c r="E380" s="113" t="s">
        <v>3160</v>
      </c>
      <c r="F380" s="113" t="s">
        <v>4085</v>
      </c>
      <c r="G380" s="113" t="s">
        <v>4531</v>
      </c>
    </row>
    <row r="381" spans="1:7" ht="57" x14ac:dyDescent="0.2">
      <c r="A381" s="144"/>
      <c r="B381" s="145"/>
      <c r="C381" s="115" t="s">
        <v>1096</v>
      </c>
      <c r="D381" s="115" t="s">
        <v>4449</v>
      </c>
      <c r="E381" s="113" t="s">
        <v>3161</v>
      </c>
      <c r="F381" s="113" t="s">
        <v>4532</v>
      </c>
      <c r="G381" s="113" t="s">
        <v>4534</v>
      </c>
    </row>
    <row r="382" spans="1:7" ht="71.25" x14ac:dyDescent="0.2">
      <c r="A382" s="144"/>
      <c r="B382" s="145"/>
      <c r="C382" s="115" t="s">
        <v>1097</v>
      </c>
      <c r="D382" s="115" t="s">
        <v>4535</v>
      </c>
      <c r="E382" s="113" t="s">
        <v>3162</v>
      </c>
      <c r="F382" s="113" t="s">
        <v>4641</v>
      </c>
      <c r="G382" s="113" t="s">
        <v>4533</v>
      </c>
    </row>
    <row r="383" spans="1:7" ht="57" x14ac:dyDescent="0.2">
      <c r="A383" s="144"/>
      <c r="B383" s="145"/>
      <c r="C383" s="115" t="s">
        <v>1098</v>
      </c>
      <c r="D383" s="115" t="s">
        <v>4538</v>
      </c>
      <c r="E383" s="113" t="s">
        <v>3163</v>
      </c>
      <c r="F383" s="113" t="s">
        <v>4537</v>
      </c>
      <c r="G383" s="113" t="s">
        <v>4536</v>
      </c>
    </row>
    <row r="384" spans="1:7" ht="228" x14ac:dyDescent="0.2">
      <c r="A384" s="144"/>
      <c r="B384" s="145"/>
      <c r="C384" s="115" t="s">
        <v>1099</v>
      </c>
      <c r="D384" s="115" t="s">
        <v>4451</v>
      </c>
      <c r="E384" s="113" t="s">
        <v>3164</v>
      </c>
      <c r="F384" s="113" t="s">
        <v>4539</v>
      </c>
      <c r="G384" s="113" t="s">
        <v>4450</v>
      </c>
    </row>
    <row r="385" spans="1:7" ht="199.5" x14ac:dyDescent="0.2">
      <c r="A385" s="144"/>
      <c r="B385" s="145"/>
      <c r="C385" s="115" t="s">
        <v>1100</v>
      </c>
      <c r="D385" s="115" t="s">
        <v>4642</v>
      </c>
      <c r="E385" s="113" t="s">
        <v>3165</v>
      </c>
      <c r="F385" s="113" t="s">
        <v>4453</v>
      </c>
      <c r="G385" s="113" t="s">
        <v>4452</v>
      </c>
    </row>
    <row r="386" spans="1:7" ht="99.75" x14ac:dyDescent="0.2">
      <c r="A386" s="144"/>
      <c r="B386" s="145"/>
      <c r="C386" s="115" t="s">
        <v>1101</v>
      </c>
      <c r="D386" s="115" t="s">
        <v>1720</v>
      </c>
      <c r="E386" s="113" t="s">
        <v>3164</v>
      </c>
      <c r="F386" s="113" t="s">
        <v>4541</v>
      </c>
      <c r="G386" s="113" t="s">
        <v>4540</v>
      </c>
    </row>
    <row r="387" spans="1:7" ht="99.75" x14ac:dyDescent="0.2">
      <c r="A387" s="144"/>
      <c r="B387" s="145"/>
      <c r="C387" s="115" t="s">
        <v>1102</v>
      </c>
      <c r="D387" s="115" t="s">
        <v>4456</v>
      </c>
      <c r="E387" s="113" t="s">
        <v>3166</v>
      </c>
      <c r="F387" s="113" t="s">
        <v>4455</v>
      </c>
      <c r="G387" s="113" t="s">
        <v>4454</v>
      </c>
    </row>
    <row r="388" spans="1:7" ht="142.5" x14ac:dyDescent="0.2">
      <c r="A388" s="144"/>
      <c r="B388" s="145"/>
      <c r="C388" s="115" t="s">
        <v>1103</v>
      </c>
      <c r="D388" s="115" t="s">
        <v>1724</v>
      </c>
      <c r="E388" s="113" t="s">
        <v>3167</v>
      </c>
      <c r="F388" s="113" t="s">
        <v>4888</v>
      </c>
      <c r="G388" s="113" t="s">
        <v>4457</v>
      </c>
    </row>
    <row r="389" spans="1:7" ht="199.5" x14ac:dyDescent="0.2">
      <c r="A389" s="144"/>
      <c r="B389" s="145"/>
      <c r="C389" s="115" t="s">
        <v>1104</v>
      </c>
      <c r="D389" s="115" t="s">
        <v>1727</v>
      </c>
      <c r="E389" s="113" t="s">
        <v>3168</v>
      </c>
      <c r="F389" s="113" t="s">
        <v>4459</v>
      </c>
      <c r="G389" s="113" t="s">
        <v>4458</v>
      </c>
    </row>
    <row r="390" spans="1:7" ht="15" x14ac:dyDescent="0.25">
      <c r="A390" s="223" t="s">
        <v>4300</v>
      </c>
      <c r="B390" s="223"/>
      <c r="C390" s="223"/>
      <c r="D390" s="223"/>
      <c r="E390" s="223"/>
      <c r="F390" s="223"/>
      <c r="G390" s="223"/>
    </row>
    <row r="391" spans="1:7" ht="171" x14ac:dyDescent="0.2">
      <c r="A391" s="144"/>
      <c r="B391" s="145"/>
      <c r="C391" s="115" t="s">
        <v>3170</v>
      </c>
      <c r="D391" s="115" t="s">
        <v>1391</v>
      </c>
      <c r="E391" s="157">
        <v>1</v>
      </c>
      <c r="F391" s="113" t="s">
        <v>4460</v>
      </c>
      <c r="G391" s="113" t="s">
        <v>4461</v>
      </c>
    </row>
    <row r="392" spans="1:7" x14ac:dyDescent="0.2">
      <c r="A392" s="144"/>
      <c r="B392" s="145"/>
      <c r="C392" s="115" t="s">
        <v>3171</v>
      </c>
      <c r="D392" s="115" t="s">
        <v>1107</v>
      </c>
      <c r="E392" s="158">
        <v>46023</v>
      </c>
      <c r="F392" s="113" t="s">
        <v>4462</v>
      </c>
      <c r="G392" s="119"/>
    </row>
    <row r="393" spans="1:7" ht="42.75" x14ac:dyDescent="0.2">
      <c r="A393" s="144"/>
      <c r="B393" s="145"/>
      <c r="C393" s="115" t="s">
        <v>3172</v>
      </c>
      <c r="D393" s="115" t="s">
        <v>4463</v>
      </c>
      <c r="E393" s="115" t="s">
        <v>3173</v>
      </c>
      <c r="F393" s="113" t="s">
        <v>309</v>
      </c>
      <c r="G393" s="121"/>
    </row>
    <row r="394" spans="1:7" ht="42.75" x14ac:dyDescent="0.2">
      <c r="A394" s="144"/>
      <c r="B394" s="145"/>
      <c r="C394" s="115" t="s">
        <v>3174</v>
      </c>
      <c r="D394" s="115" t="s">
        <v>312</v>
      </c>
      <c r="E394" s="115" t="s">
        <v>3175</v>
      </c>
      <c r="F394" s="121"/>
      <c r="G394" s="113" t="s">
        <v>314</v>
      </c>
    </row>
    <row r="395" spans="1:7" x14ac:dyDescent="0.2">
      <c r="A395" s="144"/>
      <c r="B395" s="145"/>
      <c r="C395" s="115" t="s">
        <v>3176</v>
      </c>
      <c r="D395" s="116"/>
      <c r="E395" s="115">
        <v>0</v>
      </c>
      <c r="F395" s="119"/>
      <c r="G395" s="121"/>
    </row>
    <row r="396" spans="1:7" x14ac:dyDescent="0.2">
      <c r="A396" s="144"/>
      <c r="B396" s="145"/>
      <c r="C396" s="115" t="s">
        <v>3176</v>
      </c>
      <c r="D396" s="116"/>
      <c r="E396" s="115">
        <v>0</v>
      </c>
      <c r="F396" s="119"/>
      <c r="G396" s="121"/>
    </row>
    <row r="397" spans="1:7" ht="57" x14ac:dyDescent="0.2">
      <c r="A397" s="144"/>
      <c r="B397" s="145"/>
      <c r="C397" s="115" t="s">
        <v>3177</v>
      </c>
      <c r="D397" s="115" t="s">
        <v>325</v>
      </c>
      <c r="E397" s="115" t="s">
        <v>3178</v>
      </c>
      <c r="F397" s="113" t="s">
        <v>4353</v>
      </c>
      <c r="G397" s="113" t="s">
        <v>4464</v>
      </c>
    </row>
    <row r="398" spans="1:7" ht="57" x14ac:dyDescent="0.2">
      <c r="A398" s="144"/>
      <c r="B398" s="145"/>
      <c r="C398" s="115" t="s">
        <v>3179</v>
      </c>
      <c r="D398" s="115" t="s">
        <v>4466</v>
      </c>
      <c r="E398" s="125"/>
      <c r="F398" s="113" t="s">
        <v>4465</v>
      </c>
      <c r="G398" s="113" t="s">
        <v>331</v>
      </c>
    </row>
    <row r="399" spans="1:7" ht="57" x14ac:dyDescent="0.2">
      <c r="A399" s="144"/>
      <c r="B399" s="145"/>
      <c r="C399" s="115" t="s">
        <v>3180</v>
      </c>
      <c r="D399" s="115" t="s">
        <v>333</v>
      </c>
      <c r="E399" s="115"/>
      <c r="F399" s="113" t="s">
        <v>4468</v>
      </c>
      <c r="G399" s="113" t="s">
        <v>334</v>
      </c>
    </row>
    <row r="400" spans="1:7" ht="57" x14ac:dyDescent="0.2">
      <c r="A400" s="144"/>
      <c r="B400" s="145"/>
      <c r="C400" s="115" t="s">
        <v>3181</v>
      </c>
      <c r="D400" s="115" t="s">
        <v>4467</v>
      </c>
      <c r="E400" s="115"/>
      <c r="F400" s="113" t="s">
        <v>4469</v>
      </c>
      <c r="G400" s="113" t="s">
        <v>334</v>
      </c>
    </row>
    <row r="401" spans="1:7" ht="213.75" x14ac:dyDescent="0.2">
      <c r="A401" s="144"/>
      <c r="B401" s="145"/>
      <c r="C401" s="115" t="s">
        <v>3182</v>
      </c>
      <c r="D401" s="115" t="s">
        <v>4078</v>
      </c>
      <c r="E401" s="115" t="s">
        <v>3246</v>
      </c>
      <c r="F401" s="113" t="s">
        <v>4470</v>
      </c>
      <c r="G401" s="113" t="s">
        <v>4542</v>
      </c>
    </row>
    <row r="402" spans="1:7" ht="156.75" x14ac:dyDescent="0.2">
      <c r="A402" s="144"/>
      <c r="B402" s="145"/>
      <c r="C402" s="115" t="s">
        <v>3183</v>
      </c>
      <c r="D402" s="115" t="s">
        <v>1607</v>
      </c>
      <c r="E402" s="115" t="s">
        <v>3169</v>
      </c>
      <c r="F402" s="113" t="s">
        <v>4471</v>
      </c>
      <c r="G402" s="113" t="s">
        <v>4472</v>
      </c>
    </row>
    <row r="403" spans="1:7" ht="71.25" x14ac:dyDescent="0.2">
      <c r="A403" s="144"/>
      <c r="B403" s="145"/>
      <c r="C403" s="115" t="s">
        <v>3184</v>
      </c>
      <c r="D403" s="115" t="s">
        <v>4474</v>
      </c>
      <c r="E403" s="115" t="s">
        <v>2169</v>
      </c>
      <c r="F403" s="113" t="s">
        <v>4473</v>
      </c>
      <c r="G403" s="113" t="s">
        <v>4472</v>
      </c>
    </row>
    <row r="404" spans="1:7" ht="100.5" x14ac:dyDescent="0.2">
      <c r="A404" s="144"/>
      <c r="B404" s="145"/>
      <c r="C404" s="115" t="s">
        <v>3185</v>
      </c>
      <c r="D404" s="115" t="s">
        <v>4079</v>
      </c>
      <c r="E404" s="115" t="s">
        <v>1913</v>
      </c>
      <c r="F404" s="113" t="s">
        <v>4475</v>
      </c>
      <c r="G404" s="113" t="s">
        <v>4505</v>
      </c>
    </row>
    <row r="405" spans="1:7" ht="57" x14ac:dyDescent="0.2">
      <c r="A405" s="144"/>
      <c r="B405" s="145"/>
      <c r="C405" s="115" t="s">
        <v>3186</v>
      </c>
      <c r="D405" s="115" t="s">
        <v>1616</v>
      </c>
      <c r="E405" s="115" t="s">
        <v>3125</v>
      </c>
      <c r="F405" s="113" t="s">
        <v>4476</v>
      </c>
      <c r="G405" s="113" t="s">
        <v>4472</v>
      </c>
    </row>
    <row r="406" spans="1:7" ht="71.25" x14ac:dyDescent="0.2">
      <c r="A406" s="144"/>
      <c r="B406" s="145"/>
      <c r="C406" s="115" t="s">
        <v>3187</v>
      </c>
      <c r="D406" s="115" t="s">
        <v>1619</v>
      </c>
      <c r="E406" s="115" t="s">
        <v>3188</v>
      </c>
      <c r="F406" s="113" t="s">
        <v>4477</v>
      </c>
      <c r="G406" s="113" t="s">
        <v>4472</v>
      </c>
    </row>
    <row r="407" spans="1:7" ht="409.5" x14ac:dyDescent="0.2">
      <c r="A407" s="144"/>
      <c r="B407" s="145"/>
      <c r="C407" s="115"/>
      <c r="D407" s="115" t="s">
        <v>4382</v>
      </c>
      <c r="E407" s="115" t="s">
        <v>3189</v>
      </c>
      <c r="F407" s="113" t="s">
        <v>4478</v>
      </c>
      <c r="G407" s="113" t="s">
        <v>4506</v>
      </c>
    </row>
    <row r="408" spans="1:7" ht="142.5" x14ac:dyDescent="0.2">
      <c r="A408" s="144"/>
      <c r="B408" s="145"/>
      <c r="C408" s="115" t="s">
        <v>3190</v>
      </c>
      <c r="D408" s="115" t="s">
        <v>4080</v>
      </c>
      <c r="E408" s="115" t="s">
        <v>3191</v>
      </c>
      <c r="F408" s="113" t="s">
        <v>4479</v>
      </c>
      <c r="G408" s="113" t="s">
        <v>4472</v>
      </c>
    </row>
    <row r="409" spans="1:7" ht="200.25" x14ac:dyDescent="0.2">
      <c r="A409" s="144"/>
      <c r="B409" s="145"/>
      <c r="C409" s="115" t="s">
        <v>3192</v>
      </c>
      <c r="D409" s="115" t="s">
        <v>4481</v>
      </c>
      <c r="E409" s="115" t="s">
        <v>3193</v>
      </c>
      <c r="F409" s="113" t="s">
        <v>4480</v>
      </c>
      <c r="G409" s="113" t="s">
        <v>4507</v>
      </c>
    </row>
    <row r="410" spans="1:7" ht="186" x14ac:dyDescent="0.2">
      <c r="A410" s="144"/>
      <c r="B410" s="145"/>
      <c r="C410" s="115" t="s">
        <v>3194</v>
      </c>
      <c r="D410" s="115" t="s">
        <v>4387</v>
      </c>
      <c r="E410" s="115" t="s">
        <v>3195</v>
      </c>
      <c r="F410" s="113" t="s">
        <v>4482</v>
      </c>
      <c r="G410" s="113" t="s">
        <v>4508</v>
      </c>
    </row>
    <row r="411" spans="1:7" ht="85.5" x14ac:dyDescent="0.2">
      <c r="A411" s="144"/>
      <c r="B411" s="145"/>
      <c r="C411" s="115" t="s">
        <v>3196</v>
      </c>
      <c r="D411" s="115" t="s">
        <v>4388</v>
      </c>
      <c r="E411" s="115" t="s">
        <v>2169</v>
      </c>
      <c r="F411" s="113" t="s">
        <v>4483</v>
      </c>
      <c r="G411" s="113" t="s">
        <v>4472</v>
      </c>
    </row>
    <row r="412" spans="1:7" ht="186" x14ac:dyDescent="0.2">
      <c r="A412" s="144"/>
      <c r="B412" s="145"/>
      <c r="C412" s="115" t="s">
        <v>3197</v>
      </c>
      <c r="D412" s="115" t="s">
        <v>1639</v>
      </c>
      <c r="E412" s="115" t="s">
        <v>3198</v>
      </c>
      <c r="F412" s="113" t="s">
        <v>4484</v>
      </c>
      <c r="G412" s="113" t="s">
        <v>4509</v>
      </c>
    </row>
    <row r="413" spans="1:7" ht="186" x14ac:dyDescent="0.2">
      <c r="A413" s="144"/>
      <c r="B413" s="145"/>
      <c r="C413" s="115" t="s">
        <v>3199</v>
      </c>
      <c r="D413" s="115" t="s">
        <v>1642</v>
      </c>
      <c r="E413" s="115" t="s">
        <v>3200</v>
      </c>
      <c r="F413" s="113" t="s">
        <v>4485</v>
      </c>
      <c r="G413" s="113" t="s">
        <v>4510</v>
      </c>
    </row>
    <row r="414" spans="1:7" ht="409.5" x14ac:dyDescent="0.2">
      <c r="A414" s="144"/>
      <c r="B414" s="145"/>
      <c r="C414" s="115" t="s">
        <v>3201</v>
      </c>
      <c r="D414" s="115" t="s">
        <v>4087</v>
      </c>
      <c r="E414" s="115" t="s">
        <v>3245</v>
      </c>
      <c r="F414" s="113" t="s">
        <v>4361</v>
      </c>
      <c r="G414" s="113" t="s">
        <v>4511</v>
      </c>
    </row>
    <row r="415" spans="1:7" ht="356.25" x14ac:dyDescent="0.2">
      <c r="A415" s="144"/>
      <c r="B415" s="145"/>
      <c r="C415" s="115" t="s">
        <v>3202</v>
      </c>
      <c r="D415" s="115" t="s">
        <v>4486</v>
      </c>
      <c r="E415" s="115" t="s">
        <v>3203</v>
      </c>
      <c r="F415" s="113" t="s">
        <v>4487</v>
      </c>
      <c r="G415" s="113" t="s">
        <v>4512</v>
      </c>
    </row>
    <row r="416" spans="1:7" ht="115.5" x14ac:dyDescent="0.2">
      <c r="A416" s="144"/>
      <c r="B416" s="145"/>
      <c r="C416" s="115" t="s">
        <v>3204</v>
      </c>
      <c r="D416" s="115" t="s">
        <v>4393</v>
      </c>
      <c r="E416" s="115" t="s">
        <v>1064</v>
      </c>
      <c r="F416" s="113" t="s">
        <v>4081</v>
      </c>
      <c r="G416" s="113" t="s">
        <v>4513</v>
      </c>
    </row>
    <row r="417" spans="1:7" ht="57" x14ac:dyDescent="0.2">
      <c r="A417" s="144"/>
      <c r="B417" s="145"/>
      <c r="C417" s="115" t="s">
        <v>3205</v>
      </c>
      <c r="D417" s="115" t="s">
        <v>4489</v>
      </c>
      <c r="E417" s="115" t="s">
        <v>3206</v>
      </c>
      <c r="F417" s="113" t="s">
        <v>4488</v>
      </c>
      <c r="G417" s="113" t="s">
        <v>4514</v>
      </c>
    </row>
    <row r="418" spans="1:7" ht="71.25" x14ac:dyDescent="0.2">
      <c r="A418" s="144"/>
      <c r="B418" s="145"/>
      <c r="C418" s="115" t="s">
        <v>3207</v>
      </c>
      <c r="D418" s="115" t="s">
        <v>4395</v>
      </c>
      <c r="E418" s="115" t="s">
        <v>3208</v>
      </c>
      <c r="F418" s="113" t="s">
        <v>4396</v>
      </c>
      <c r="G418" s="113" t="s">
        <v>4515</v>
      </c>
    </row>
    <row r="419" spans="1:7" ht="71.25" x14ac:dyDescent="0.2">
      <c r="A419" s="144"/>
      <c r="B419" s="145"/>
      <c r="C419" s="115" t="s">
        <v>3209</v>
      </c>
      <c r="D419" s="115" t="s">
        <v>4399</v>
      </c>
      <c r="E419" s="115" t="s">
        <v>3210</v>
      </c>
      <c r="F419" s="113" t="s">
        <v>4398</v>
      </c>
      <c r="G419" s="113" t="s">
        <v>4516</v>
      </c>
    </row>
    <row r="420" spans="1:7" ht="71.25" x14ac:dyDescent="0.2">
      <c r="A420" s="144"/>
      <c r="B420" s="145"/>
      <c r="C420" s="115" t="s">
        <v>3211</v>
      </c>
      <c r="D420" s="115" t="s">
        <v>4403</v>
      </c>
      <c r="E420" s="115" t="s">
        <v>3244</v>
      </c>
      <c r="F420" s="113" t="s">
        <v>4402</v>
      </c>
      <c r="G420" s="113" t="s">
        <v>4517</v>
      </c>
    </row>
    <row r="421" spans="1:7" ht="71.25" x14ac:dyDescent="0.2">
      <c r="A421" s="144"/>
      <c r="B421" s="145"/>
      <c r="C421" s="115" t="s">
        <v>3212</v>
      </c>
      <c r="D421" s="115" t="s">
        <v>4550</v>
      </c>
      <c r="E421" s="115" t="s">
        <v>3213</v>
      </c>
      <c r="F421" s="113" t="s">
        <v>4405</v>
      </c>
      <c r="G421" s="113" t="s">
        <v>4518</v>
      </c>
    </row>
    <row r="422" spans="1:7" ht="71.25" x14ac:dyDescent="0.2">
      <c r="A422" s="144"/>
      <c r="B422" s="145"/>
      <c r="C422" s="115" t="s">
        <v>3214</v>
      </c>
      <c r="D422" s="115" t="s">
        <v>4549</v>
      </c>
      <c r="E422" s="115" t="s">
        <v>3215</v>
      </c>
      <c r="F422" s="113" t="s">
        <v>4407</v>
      </c>
      <c r="G422" s="113" t="s">
        <v>4543</v>
      </c>
    </row>
    <row r="423" spans="1:7" ht="71.25" x14ac:dyDescent="0.2">
      <c r="A423" s="144"/>
      <c r="B423" s="145"/>
      <c r="C423" s="115" t="s">
        <v>3216</v>
      </c>
      <c r="D423" s="115" t="s">
        <v>4548</v>
      </c>
      <c r="E423" s="115" t="s">
        <v>3219</v>
      </c>
      <c r="F423" s="113" t="s">
        <v>4417</v>
      </c>
      <c r="G423" s="113" t="s">
        <v>4490</v>
      </c>
    </row>
    <row r="424" spans="1:7" ht="71.25" x14ac:dyDescent="0.2">
      <c r="A424" s="144"/>
      <c r="B424" s="145"/>
      <c r="C424" s="115" t="s">
        <v>3217</v>
      </c>
      <c r="D424" s="115" t="s">
        <v>4547</v>
      </c>
      <c r="E424" s="115" t="s">
        <v>3218</v>
      </c>
      <c r="F424" s="113" t="s">
        <v>4416</v>
      </c>
      <c r="G424" s="113" t="s">
        <v>4491</v>
      </c>
    </row>
    <row r="425" spans="1:7" ht="71.25" x14ac:dyDescent="0.2">
      <c r="A425" s="144"/>
      <c r="B425" s="145"/>
      <c r="C425" s="115" t="s">
        <v>3220</v>
      </c>
      <c r="D425" s="115" t="s">
        <v>4546</v>
      </c>
      <c r="E425" s="115" t="s">
        <v>3219</v>
      </c>
      <c r="F425" s="113" t="s">
        <v>4415</v>
      </c>
      <c r="G425" s="113" t="s">
        <v>4492</v>
      </c>
    </row>
    <row r="426" spans="1:7" ht="71.25" x14ac:dyDescent="0.2">
      <c r="A426" s="144"/>
      <c r="B426" s="145"/>
      <c r="C426" s="115" t="s">
        <v>3221</v>
      </c>
      <c r="D426" s="115" t="s">
        <v>4420</v>
      </c>
      <c r="E426" s="115" t="s">
        <v>3219</v>
      </c>
      <c r="F426" s="113" t="s">
        <v>4419</v>
      </c>
      <c r="G426" s="113" t="s">
        <v>4544</v>
      </c>
    </row>
    <row r="427" spans="1:7" ht="85.5" x14ac:dyDescent="0.2">
      <c r="A427" s="144"/>
      <c r="B427" s="145"/>
      <c r="C427" s="115" t="s">
        <v>3222</v>
      </c>
      <c r="D427" s="115" t="s">
        <v>4423</v>
      </c>
      <c r="E427" s="115" t="s">
        <v>3223</v>
      </c>
      <c r="F427" s="113" t="s">
        <v>4422</v>
      </c>
      <c r="G427" s="113" t="s">
        <v>4545</v>
      </c>
    </row>
    <row r="428" spans="1:7" ht="57" x14ac:dyDescent="0.2">
      <c r="A428" s="144"/>
      <c r="B428" s="145"/>
      <c r="C428" s="115" t="s">
        <v>3224</v>
      </c>
      <c r="D428" s="115" t="s">
        <v>4493</v>
      </c>
      <c r="E428" s="115" t="s">
        <v>3225</v>
      </c>
      <c r="F428" s="113" t="s">
        <v>4494</v>
      </c>
      <c r="G428" s="119"/>
    </row>
    <row r="429" spans="1:7" ht="57" x14ac:dyDescent="0.2">
      <c r="A429" s="144"/>
      <c r="B429" s="145"/>
      <c r="C429" s="115" t="s">
        <v>3226</v>
      </c>
      <c r="D429" s="115" t="s">
        <v>4496</v>
      </c>
      <c r="E429" s="115" t="s">
        <v>3142</v>
      </c>
      <c r="F429" s="113" t="s">
        <v>4495</v>
      </c>
      <c r="G429" s="119"/>
    </row>
    <row r="430" spans="1:7" ht="57" x14ac:dyDescent="0.2">
      <c r="A430" s="144"/>
      <c r="B430" s="145"/>
      <c r="C430" s="115" t="s">
        <v>3227</v>
      </c>
      <c r="D430" s="115" t="s">
        <v>4498</v>
      </c>
      <c r="E430" s="115" t="s">
        <v>3228</v>
      </c>
      <c r="F430" s="113" t="s">
        <v>4497</v>
      </c>
      <c r="G430" s="119"/>
    </row>
    <row r="431" spans="1:7" ht="71.25" x14ac:dyDescent="0.2">
      <c r="A431" s="144"/>
      <c r="B431" s="145"/>
      <c r="C431" s="115" t="s">
        <v>3229</v>
      </c>
      <c r="D431" s="115" t="s">
        <v>4426</v>
      </c>
      <c r="E431" s="115" t="s">
        <v>3230</v>
      </c>
      <c r="F431" s="113" t="s">
        <v>4425</v>
      </c>
      <c r="G431" s="113" t="s">
        <v>4551</v>
      </c>
    </row>
    <row r="432" spans="1:7" ht="72.75" x14ac:dyDescent="0.2">
      <c r="A432" s="144"/>
      <c r="B432" s="145"/>
      <c r="C432" s="115" t="s">
        <v>3231</v>
      </c>
      <c r="D432" s="115" t="s">
        <v>4428</v>
      </c>
      <c r="E432" s="115" t="s">
        <v>3232</v>
      </c>
      <c r="F432" s="113" t="s">
        <v>4427</v>
      </c>
      <c r="G432" s="113" t="s">
        <v>4519</v>
      </c>
    </row>
    <row r="433" spans="1:7" ht="71.25" x14ac:dyDescent="0.2">
      <c r="A433" s="144"/>
      <c r="B433" s="145"/>
      <c r="C433" s="115" t="s">
        <v>3233</v>
      </c>
      <c r="D433" s="115" t="s">
        <v>4431</v>
      </c>
      <c r="E433" s="115" t="s">
        <v>3234</v>
      </c>
      <c r="F433" s="113" t="s">
        <v>4430</v>
      </c>
      <c r="G433" s="113" t="s">
        <v>4499</v>
      </c>
    </row>
    <row r="434" spans="1:7" ht="72.75" x14ac:dyDescent="0.2">
      <c r="A434" s="144"/>
      <c r="B434" s="145"/>
      <c r="C434" s="115" t="s">
        <v>3235</v>
      </c>
      <c r="D434" s="115" t="s">
        <v>4556</v>
      </c>
      <c r="E434" s="115" t="s">
        <v>3147</v>
      </c>
      <c r="F434" s="113" t="s">
        <v>4433</v>
      </c>
      <c r="G434" s="113" t="s">
        <v>4552</v>
      </c>
    </row>
    <row r="435" spans="1:7" ht="85.5" x14ac:dyDescent="0.2">
      <c r="A435" s="144"/>
      <c r="B435" s="145"/>
      <c r="C435" s="115" t="s">
        <v>3236</v>
      </c>
      <c r="D435" s="115" t="s">
        <v>4555</v>
      </c>
      <c r="E435" s="115" t="s">
        <v>3237</v>
      </c>
      <c r="F435" s="113" t="s">
        <v>4082</v>
      </c>
      <c r="G435" s="113" t="s">
        <v>4553</v>
      </c>
    </row>
    <row r="436" spans="1:7" ht="85.5" x14ac:dyDescent="0.2">
      <c r="A436" s="144"/>
      <c r="B436" s="145"/>
      <c r="C436" s="115" t="s">
        <v>3238</v>
      </c>
      <c r="D436" s="115" t="s">
        <v>4557</v>
      </c>
      <c r="E436" s="115" t="s">
        <v>3239</v>
      </c>
      <c r="F436" s="113" t="s">
        <v>4438</v>
      </c>
      <c r="G436" s="113" t="s">
        <v>4554</v>
      </c>
    </row>
    <row r="437" spans="1:7" ht="85.5" x14ac:dyDescent="0.2">
      <c r="A437" s="144"/>
      <c r="B437" s="145"/>
      <c r="C437" s="115" t="s">
        <v>3240</v>
      </c>
      <c r="D437" s="115" t="s">
        <v>4558</v>
      </c>
      <c r="E437" s="115" t="s">
        <v>3241</v>
      </c>
      <c r="F437" s="113" t="s">
        <v>4501</v>
      </c>
      <c r="G437" s="113" t="s">
        <v>4500</v>
      </c>
    </row>
    <row r="438" spans="1:7" ht="85.5" x14ac:dyDescent="0.2">
      <c r="A438" s="144"/>
      <c r="B438" s="145"/>
      <c r="C438" s="115" t="s">
        <v>3242</v>
      </c>
      <c r="D438" s="115" t="s">
        <v>4559</v>
      </c>
      <c r="E438" s="115" t="s">
        <v>3243</v>
      </c>
      <c r="F438" s="113" t="s">
        <v>4503</v>
      </c>
      <c r="G438" s="113" t="s">
        <v>4502</v>
      </c>
    </row>
  </sheetData>
  <mergeCells count="6">
    <mergeCell ref="A390:G390"/>
    <mergeCell ref="A293:G293"/>
    <mergeCell ref="A333:G333"/>
    <mergeCell ref="A253:G253"/>
    <mergeCell ref="A9:G9"/>
    <mergeCell ref="A182:G182"/>
  </mergeCells>
  <hyperlinks>
    <hyperlink ref="D1" location="'Overview SNC'!A1" display="Retour vers Overview" xr:uid="{00000000-0004-0000-0400-000000000000}"/>
    <hyperlink ref="B4" location="'VZ2000'!A9" display="personnes" xr:uid="{00000000-0004-0000-0400-000001000000}"/>
    <hyperlink ref="B5" location="'VZ2000'!A182" display="ménages" xr:uid="{00000000-0004-0000-0400-000002000000}"/>
    <hyperlink ref="B6" location="'VZ2000'!A390" display="bâtiments" xr:uid="{00000000-0004-0000-0400-000003000000}"/>
  </hyperlink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7"/>
  </sheetPr>
  <dimension ref="A1:H408"/>
  <sheetViews>
    <sheetView zoomScaleNormal="100" workbookViewId="0">
      <selection activeCell="B4" sqref="B4"/>
    </sheetView>
  </sheetViews>
  <sheetFormatPr baseColWidth="10" defaultColWidth="10.875" defaultRowHeight="14.25" x14ac:dyDescent="0.25"/>
  <cols>
    <col min="1" max="1" width="25.25" style="47" customWidth="1"/>
    <col min="2" max="2" width="12.125" style="84" customWidth="1"/>
    <col min="3" max="3" width="26.125" style="47" customWidth="1"/>
    <col min="4" max="4" width="40.875" style="47" customWidth="1"/>
    <col min="5" max="5" width="13.5" style="47" customWidth="1"/>
    <col min="6" max="6" width="55.625" style="47" customWidth="1"/>
    <col min="7" max="7" width="43.375" style="47" customWidth="1"/>
    <col min="8" max="8" width="56" style="9" customWidth="1"/>
    <col min="9" max="16384" width="10.875" style="47"/>
  </cols>
  <sheetData>
    <row r="1" spans="1:8" ht="15" x14ac:dyDescent="0.2">
      <c r="A1" s="48" t="s">
        <v>5</v>
      </c>
      <c r="B1" s="13" t="s">
        <v>7</v>
      </c>
      <c r="C1" s="48"/>
      <c r="D1" s="49" t="s">
        <v>4297</v>
      </c>
      <c r="E1" s="50"/>
      <c r="F1" s="51"/>
      <c r="G1" s="51"/>
      <c r="H1" s="93"/>
    </row>
    <row r="2" spans="1:8" ht="15" x14ac:dyDescent="0.25">
      <c r="A2" s="48" t="s">
        <v>51</v>
      </c>
      <c r="B2" s="13" t="s">
        <v>3</v>
      </c>
      <c r="C2" s="48"/>
      <c r="D2" s="51"/>
      <c r="E2" s="50"/>
      <c r="F2" s="51"/>
      <c r="G2" s="51"/>
      <c r="H2" s="93"/>
    </row>
    <row r="3" spans="1:8" ht="15" x14ac:dyDescent="0.25">
      <c r="A3" s="48" t="s">
        <v>17</v>
      </c>
      <c r="B3" s="13" t="s">
        <v>5035</v>
      </c>
      <c r="C3" s="48"/>
      <c r="D3" s="50"/>
      <c r="E3" s="50"/>
      <c r="F3" s="50"/>
      <c r="G3" s="50"/>
      <c r="H3" s="93"/>
    </row>
    <row r="4" spans="1:8" ht="15" x14ac:dyDescent="0.25">
      <c r="A4" s="48" t="s">
        <v>18</v>
      </c>
      <c r="B4" s="52" t="s">
        <v>4644</v>
      </c>
      <c r="C4" s="48"/>
      <c r="E4" s="50"/>
      <c r="F4" s="50"/>
      <c r="G4" s="50"/>
      <c r="H4" s="93"/>
    </row>
    <row r="5" spans="1:8" ht="15" x14ac:dyDescent="0.25">
      <c r="A5" s="48"/>
      <c r="B5" s="52" t="s">
        <v>4645</v>
      </c>
      <c r="C5" s="48"/>
      <c r="D5" s="50"/>
      <c r="E5" s="50"/>
      <c r="F5" s="50"/>
      <c r="G5" s="50"/>
      <c r="H5" s="93"/>
    </row>
    <row r="6" spans="1:8" ht="15" x14ac:dyDescent="0.25">
      <c r="A6" s="48"/>
      <c r="B6" s="52" t="s">
        <v>4646</v>
      </c>
      <c r="C6" s="48"/>
      <c r="D6" s="50"/>
      <c r="E6" s="50"/>
      <c r="F6" s="50"/>
      <c r="G6" s="50"/>
      <c r="H6" s="93"/>
    </row>
    <row r="7" spans="1:8" ht="15" x14ac:dyDescent="0.25">
      <c r="A7" s="48"/>
      <c r="B7" s="52" t="s">
        <v>4647</v>
      </c>
      <c r="C7" s="48"/>
      <c r="D7" s="50"/>
      <c r="E7" s="50"/>
      <c r="F7" s="50"/>
      <c r="G7" s="50"/>
      <c r="H7" s="93"/>
    </row>
    <row r="8" spans="1:8" ht="15.75" x14ac:dyDescent="0.25">
      <c r="A8" s="48"/>
      <c r="B8" s="143" t="s">
        <v>4648</v>
      </c>
      <c r="C8" s="48"/>
      <c r="D8" s="50"/>
      <c r="E8" s="50"/>
      <c r="F8" s="50"/>
      <c r="G8" s="50"/>
      <c r="H8" s="93"/>
    </row>
    <row r="10" spans="1:8" ht="43.5" customHeight="1" x14ac:dyDescent="0.25">
      <c r="A10" s="88" t="s">
        <v>50</v>
      </c>
      <c r="B10" s="101" t="s">
        <v>13</v>
      </c>
      <c r="C10" s="77" t="s">
        <v>19</v>
      </c>
      <c r="D10" s="83" t="s">
        <v>56</v>
      </c>
      <c r="E10" s="83" t="s">
        <v>20</v>
      </c>
      <c r="F10" s="83" t="s">
        <v>1105</v>
      </c>
      <c r="G10" s="77" t="s">
        <v>4820</v>
      </c>
      <c r="H10" s="77" t="s">
        <v>3251</v>
      </c>
    </row>
    <row r="11" spans="1:8" ht="15" x14ac:dyDescent="0.25">
      <c r="A11" s="220" t="s">
        <v>4643</v>
      </c>
      <c r="B11" s="220"/>
      <c r="C11" s="220"/>
      <c r="D11" s="220"/>
      <c r="E11" s="220"/>
      <c r="F11" s="220"/>
      <c r="G11" s="220"/>
      <c r="H11" s="220"/>
    </row>
    <row r="12" spans="1:8" x14ac:dyDescent="0.25">
      <c r="A12" s="159"/>
      <c r="B12" s="160" t="s">
        <v>3012</v>
      </c>
      <c r="C12" s="161" t="s">
        <v>1786</v>
      </c>
      <c r="D12" s="161" t="s">
        <v>23</v>
      </c>
      <c r="E12" s="161" t="s">
        <v>24</v>
      </c>
      <c r="F12" s="161" t="s">
        <v>4117</v>
      </c>
      <c r="G12" s="161" t="s">
        <v>1894</v>
      </c>
      <c r="H12" s="67"/>
    </row>
    <row r="13" spans="1:8" x14ac:dyDescent="0.25">
      <c r="A13" s="159"/>
      <c r="B13" s="160" t="s">
        <v>3012</v>
      </c>
      <c r="C13" s="161" t="s">
        <v>70</v>
      </c>
      <c r="D13" s="162" t="s">
        <v>1787</v>
      </c>
      <c r="E13" s="161"/>
      <c r="F13" s="161"/>
      <c r="G13" s="161" t="s">
        <v>1894</v>
      </c>
      <c r="H13" s="56"/>
    </row>
    <row r="14" spans="1:8" ht="42.75" x14ac:dyDescent="0.25">
      <c r="A14" s="159"/>
      <c r="B14" s="160"/>
      <c r="C14" s="161" t="s">
        <v>101</v>
      </c>
      <c r="D14" s="161" t="s">
        <v>1788</v>
      </c>
      <c r="E14" s="161" t="s">
        <v>79</v>
      </c>
      <c r="F14" s="161" t="s">
        <v>4745</v>
      </c>
      <c r="G14" s="161" t="s">
        <v>1894</v>
      </c>
      <c r="H14" s="56"/>
    </row>
    <row r="15" spans="1:8" x14ac:dyDescent="0.25">
      <c r="A15" s="159"/>
      <c r="B15" s="160" t="s">
        <v>3012</v>
      </c>
      <c r="C15" s="161" t="s">
        <v>84</v>
      </c>
      <c r="D15" s="161" t="s">
        <v>1789</v>
      </c>
      <c r="E15" s="163" t="s">
        <v>1903</v>
      </c>
      <c r="F15" s="163" t="s">
        <v>4746</v>
      </c>
      <c r="G15" s="161" t="s">
        <v>1894</v>
      </c>
      <c r="H15" s="56"/>
    </row>
    <row r="16" spans="1:8" x14ac:dyDescent="0.25">
      <c r="A16" s="159"/>
      <c r="B16" s="160" t="s">
        <v>3012</v>
      </c>
      <c r="C16" s="161" t="s">
        <v>1790</v>
      </c>
      <c r="D16" s="161" t="s">
        <v>1791</v>
      </c>
      <c r="E16" s="163" t="s">
        <v>1903</v>
      </c>
      <c r="F16" s="163" t="s">
        <v>4746</v>
      </c>
      <c r="G16" s="161" t="s">
        <v>1894</v>
      </c>
      <c r="H16" s="56"/>
    </row>
    <row r="17" spans="1:8" x14ac:dyDescent="0.25">
      <c r="A17" s="159"/>
      <c r="B17" s="160"/>
      <c r="C17" s="161" t="s">
        <v>1792</v>
      </c>
      <c r="D17" s="161" t="s">
        <v>1793</v>
      </c>
      <c r="E17" s="161" t="s">
        <v>24</v>
      </c>
      <c r="F17" s="161" t="s">
        <v>4117</v>
      </c>
      <c r="G17" s="161" t="s">
        <v>1895</v>
      </c>
      <c r="H17" s="56"/>
    </row>
    <row r="18" spans="1:8" x14ac:dyDescent="0.25">
      <c r="A18" s="159"/>
      <c r="B18" s="160"/>
      <c r="C18" s="161" t="s">
        <v>1794</v>
      </c>
      <c r="D18" s="161" t="s">
        <v>1795</v>
      </c>
      <c r="E18" s="163" t="s">
        <v>1903</v>
      </c>
      <c r="F18" s="163" t="s">
        <v>4746</v>
      </c>
      <c r="G18" s="161" t="s">
        <v>4821</v>
      </c>
      <c r="H18" s="56"/>
    </row>
    <row r="19" spans="1:8" x14ac:dyDescent="0.25">
      <c r="A19" s="159"/>
      <c r="B19" s="160"/>
      <c r="C19" s="161" t="s">
        <v>1796</v>
      </c>
      <c r="D19" s="161" t="s">
        <v>1797</v>
      </c>
      <c r="E19" s="161" t="s">
        <v>24</v>
      </c>
      <c r="F19" s="161" t="s">
        <v>4117</v>
      </c>
      <c r="G19" s="161" t="s">
        <v>1895</v>
      </c>
      <c r="H19" s="56"/>
    </row>
    <row r="20" spans="1:8" x14ac:dyDescent="0.25">
      <c r="A20" s="159"/>
      <c r="B20" s="160"/>
      <c r="C20" s="161" t="s">
        <v>1798</v>
      </c>
      <c r="D20" s="161" t="s">
        <v>1799</v>
      </c>
      <c r="E20" s="163" t="s">
        <v>1903</v>
      </c>
      <c r="F20" s="163" t="s">
        <v>4746</v>
      </c>
      <c r="G20" s="161" t="s">
        <v>1896</v>
      </c>
      <c r="H20" s="56"/>
    </row>
    <row r="21" spans="1:8" ht="28.5" x14ac:dyDescent="0.25">
      <c r="A21" s="159"/>
      <c r="B21" s="160"/>
      <c r="C21" s="161" t="s">
        <v>1800</v>
      </c>
      <c r="D21" s="161" t="s">
        <v>1801</v>
      </c>
      <c r="E21" s="163" t="s">
        <v>1903</v>
      </c>
      <c r="F21" s="163" t="s">
        <v>4746</v>
      </c>
      <c r="G21" s="161" t="s">
        <v>4822</v>
      </c>
      <c r="H21" s="56"/>
    </row>
    <row r="22" spans="1:8" ht="28.5" x14ac:dyDescent="0.25">
      <c r="A22" s="159"/>
      <c r="B22" s="160"/>
      <c r="C22" s="161" t="s">
        <v>1802</v>
      </c>
      <c r="D22" s="161" t="s">
        <v>1803</v>
      </c>
      <c r="E22" s="161" t="s">
        <v>1905</v>
      </c>
      <c r="F22" s="161" t="s">
        <v>4747</v>
      </c>
      <c r="G22" s="161" t="s">
        <v>1894</v>
      </c>
      <c r="H22" s="56"/>
    </row>
    <row r="23" spans="1:8" x14ac:dyDescent="0.25">
      <c r="A23" s="159"/>
      <c r="B23" s="160"/>
      <c r="C23" s="161" t="s">
        <v>1804</v>
      </c>
      <c r="D23" s="161" t="s">
        <v>1805</v>
      </c>
      <c r="E23" s="163" t="s">
        <v>1907</v>
      </c>
      <c r="F23" s="161" t="s">
        <v>4748</v>
      </c>
      <c r="G23" s="161" t="s">
        <v>4821</v>
      </c>
      <c r="H23" s="56"/>
    </row>
    <row r="24" spans="1:8" x14ac:dyDescent="0.25">
      <c r="A24" s="159"/>
      <c r="B24" s="160"/>
      <c r="C24" s="161" t="s">
        <v>1806</v>
      </c>
      <c r="D24" s="161" t="s">
        <v>1807</v>
      </c>
      <c r="E24" s="163" t="s">
        <v>1907</v>
      </c>
      <c r="F24" s="161" t="s">
        <v>4748</v>
      </c>
      <c r="G24" s="161" t="s">
        <v>1896</v>
      </c>
      <c r="H24" s="56"/>
    </row>
    <row r="25" spans="1:8" ht="28.5" x14ac:dyDescent="0.25">
      <c r="A25" s="159"/>
      <c r="B25" s="160"/>
      <c r="C25" s="161" t="s">
        <v>1808</v>
      </c>
      <c r="D25" s="161" t="s">
        <v>1809</v>
      </c>
      <c r="E25" s="163" t="s">
        <v>1908</v>
      </c>
      <c r="F25" s="159" t="s">
        <v>4749</v>
      </c>
      <c r="G25" s="161" t="s">
        <v>1894</v>
      </c>
      <c r="H25" s="56"/>
    </row>
    <row r="26" spans="1:8" ht="28.5" x14ac:dyDescent="0.25">
      <c r="A26" s="159"/>
      <c r="B26" s="160"/>
      <c r="C26" s="161" t="s">
        <v>1810</v>
      </c>
      <c r="D26" s="161" t="s">
        <v>1811</v>
      </c>
      <c r="E26" s="163" t="s">
        <v>1909</v>
      </c>
      <c r="F26" s="159" t="s">
        <v>4748</v>
      </c>
      <c r="G26" s="161" t="s">
        <v>1894</v>
      </c>
      <c r="H26" s="56"/>
    </row>
    <row r="27" spans="1:8" ht="28.5" x14ac:dyDescent="0.25">
      <c r="A27" s="159"/>
      <c r="B27" s="160"/>
      <c r="C27" s="161" t="s">
        <v>1812</v>
      </c>
      <c r="D27" s="161" t="s">
        <v>1813</v>
      </c>
      <c r="E27" s="163" t="s">
        <v>1908</v>
      </c>
      <c r="F27" s="159" t="s">
        <v>4749</v>
      </c>
      <c r="G27" s="161" t="s">
        <v>4822</v>
      </c>
      <c r="H27" s="56"/>
    </row>
    <row r="28" spans="1:8" ht="28.5" x14ac:dyDescent="0.25">
      <c r="A28" s="159"/>
      <c r="B28" s="160"/>
      <c r="C28" s="161" t="s">
        <v>1814</v>
      </c>
      <c r="D28" s="161" t="s">
        <v>1815</v>
      </c>
      <c r="E28" s="163" t="s">
        <v>1909</v>
      </c>
      <c r="F28" s="159" t="s">
        <v>4748</v>
      </c>
      <c r="G28" s="161" t="s">
        <v>4822</v>
      </c>
      <c r="H28" s="56"/>
    </row>
    <row r="29" spans="1:8" ht="28.5" x14ac:dyDescent="0.25">
      <c r="A29" s="159"/>
      <c r="B29" s="160"/>
      <c r="C29" s="161" t="s">
        <v>1816</v>
      </c>
      <c r="D29" s="161" t="s">
        <v>1817</v>
      </c>
      <c r="E29" s="161" t="s">
        <v>91</v>
      </c>
      <c r="F29" s="161" t="s">
        <v>4750</v>
      </c>
      <c r="G29" s="161" t="s">
        <v>1894</v>
      </c>
      <c r="H29" s="56"/>
    </row>
    <row r="30" spans="1:8" x14ac:dyDescent="0.2">
      <c r="A30" s="159"/>
      <c r="B30" s="160" t="s">
        <v>3012</v>
      </c>
      <c r="C30" s="161" t="s">
        <v>1818</v>
      </c>
      <c r="D30" s="161" t="s">
        <v>1819</v>
      </c>
      <c r="E30" s="164" t="s">
        <v>1910</v>
      </c>
      <c r="F30" s="161" t="s">
        <v>4751</v>
      </c>
      <c r="G30" s="161" t="s">
        <v>1894</v>
      </c>
      <c r="H30" s="94" t="s">
        <v>1912</v>
      </c>
    </row>
    <row r="31" spans="1:8" ht="28.5" x14ac:dyDescent="0.25">
      <c r="A31" s="159"/>
      <c r="B31" s="160"/>
      <c r="C31" s="161" t="s">
        <v>1820</v>
      </c>
      <c r="D31" s="161" t="s">
        <v>1821</v>
      </c>
      <c r="E31" s="165" t="s">
        <v>1921</v>
      </c>
      <c r="F31" s="161" t="s">
        <v>4752</v>
      </c>
      <c r="G31" s="161" t="s">
        <v>4823</v>
      </c>
      <c r="H31" s="56"/>
    </row>
    <row r="32" spans="1:8" ht="71.25" x14ac:dyDescent="0.25">
      <c r="A32" s="159"/>
      <c r="B32" s="160"/>
      <c r="C32" s="161" t="s">
        <v>1822</v>
      </c>
      <c r="D32" s="161" t="s">
        <v>1823</v>
      </c>
      <c r="E32" s="161" t="s">
        <v>1913</v>
      </c>
      <c r="F32" s="161" t="s">
        <v>4753</v>
      </c>
      <c r="G32" s="161" t="s">
        <v>1897</v>
      </c>
      <c r="H32" s="56"/>
    </row>
    <row r="33" spans="1:8" x14ac:dyDescent="0.2">
      <c r="A33" s="159"/>
      <c r="B33" s="160"/>
      <c r="C33" s="161" t="s">
        <v>1824</v>
      </c>
      <c r="D33" s="161" t="s">
        <v>25</v>
      </c>
      <c r="E33" s="164" t="s">
        <v>1910</v>
      </c>
      <c r="F33" s="161" t="s">
        <v>4751</v>
      </c>
      <c r="G33" s="161" t="s">
        <v>1896</v>
      </c>
      <c r="H33" s="94" t="s">
        <v>1912</v>
      </c>
    </row>
    <row r="34" spans="1:8" ht="85.5" x14ac:dyDescent="0.25">
      <c r="A34" s="159"/>
      <c r="B34" s="160"/>
      <c r="C34" s="161" t="s">
        <v>1825</v>
      </c>
      <c r="D34" s="161" t="s">
        <v>1826</v>
      </c>
      <c r="E34" s="161" t="s">
        <v>22</v>
      </c>
      <c r="F34" s="161" t="s">
        <v>4754</v>
      </c>
      <c r="G34" s="161" t="s">
        <v>1894</v>
      </c>
      <c r="H34" s="56"/>
    </row>
    <row r="35" spans="1:8" ht="28.5" x14ac:dyDescent="0.25">
      <c r="A35" s="159"/>
      <c r="B35" s="160"/>
      <c r="C35" s="161" t="s">
        <v>1827</v>
      </c>
      <c r="D35" s="161" t="s">
        <v>1828</v>
      </c>
      <c r="E35" s="161" t="s">
        <v>1922</v>
      </c>
      <c r="F35" s="161" t="s">
        <v>4755</v>
      </c>
      <c r="G35" s="161" t="s">
        <v>1894</v>
      </c>
      <c r="H35" s="56"/>
    </row>
    <row r="36" spans="1:8" ht="28.5" x14ac:dyDescent="0.25">
      <c r="A36" s="159"/>
      <c r="B36" s="160"/>
      <c r="C36" s="161" t="s">
        <v>1829</v>
      </c>
      <c r="D36" s="161" t="s">
        <v>1830</v>
      </c>
      <c r="E36" s="161" t="s">
        <v>1922</v>
      </c>
      <c r="F36" s="161" t="s">
        <v>4755</v>
      </c>
      <c r="G36" s="161" t="s">
        <v>1894</v>
      </c>
      <c r="H36" s="56"/>
    </row>
    <row r="37" spans="1:8" ht="42.75" x14ac:dyDescent="0.25">
      <c r="A37" s="159"/>
      <c r="B37" s="160"/>
      <c r="C37" s="161" t="s">
        <v>1831</v>
      </c>
      <c r="D37" s="161" t="s">
        <v>1832</v>
      </c>
      <c r="E37" s="161" t="s">
        <v>1914</v>
      </c>
      <c r="F37" s="161" t="s">
        <v>4756</v>
      </c>
      <c r="G37" s="161" t="s">
        <v>4822</v>
      </c>
      <c r="H37" s="56"/>
    </row>
    <row r="38" spans="1:8" ht="42.75" x14ac:dyDescent="0.25">
      <c r="A38" s="159"/>
      <c r="B38" s="160"/>
      <c r="C38" s="161" t="s">
        <v>1833</v>
      </c>
      <c r="D38" s="161" t="s">
        <v>1834</v>
      </c>
      <c r="E38" s="161" t="s">
        <v>1915</v>
      </c>
      <c r="F38" s="161" t="s">
        <v>4757</v>
      </c>
      <c r="G38" s="161" t="s">
        <v>4822</v>
      </c>
      <c r="H38" s="56"/>
    </row>
    <row r="39" spans="1:8" ht="28.5" x14ac:dyDescent="0.25">
      <c r="A39" s="159"/>
      <c r="B39" s="160"/>
      <c r="C39" s="161" t="s">
        <v>1835</v>
      </c>
      <c r="D39" s="161" t="s">
        <v>1836</v>
      </c>
      <c r="E39" s="166" t="s">
        <v>1923</v>
      </c>
      <c r="F39" s="161" t="s">
        <v>4758</v>
      </c>
      <c r="G39" s="161" t="s">
        <v>1894</v>
      </c>
      <c r="H39" s="56"/>
    </row>
    <row r="40" spans="1:8" x14ac:dyDescent="0.25">
      <c r="A40" s="159"/>
      <c r="B40" s="160"/>
      <c r="C40" s="161" t="s">
        <v>1837</v>
      </c>
      <c r="D40" s="161" t="s">
        <v>1838</v>
      </c>
      <c r="E40" s="161"/>
      <c r="F40" s="161"/>
      <c r="G40" s="161" t="s">
        <v>1896</v>
      </c>
      <c r="H40" s="56"/>
    </row>
    <row r="41" spans="1:8" x14ac:dyDescent="0.2">
      <c r="A41" s="159"/>
      <c r="B41" s="160"/>
      <c r="C41" s="161" t="s">
        <v>1839</v>
      </c>
      <c r="D41" s="161" t="s">
        <v>4649</v>
      </c>
      <c r="E41" s="164" t="s">
        <v>1910</v>
      </c>
      <c r="F41" s="161" t="s">
        <v>4751</v>
      </c>
      <c r="G41" s="161" t="s">
        <v>1894</v>
      </c>
      <c r="H41" s="94" t="s">
        <v>1912</v>
      </c>
    </row>
    <row r="42" spans="1:8" ht="99.75" x14ac:dyDescent="0.25">
      <c r="A42" s="159"/>
      <c r="B42" s="160"/>
      <c r="C42" s="161" t="s">
        <v>1840</v>
      </c>
      <c r="D42" s="161" t="s">
        <v>4650</v>
      </c>
      <c r="E42" s="161" t="s">
        <v>1916</v>
      </c>
      <c r="F42" s="161" t="s">
        <v>4759</v>
      </c>
      <c r="G42" s="161" t="s">
        <v>4824</v>
      </c>
      <c r="H42" s="56"/>
    </row>
    <row r="43" spans="1:8" ht="57" x14ac:dyDescent="0.25">
      <c r="A43" s="159"/>
      <c r="B43" s="160"/>
      <c r="C43" s="161" t="s">
        <v>1841</v>
      </c>
      <c r="D43" s="161" t="s">
        <v>1842</v>
      </c>
      <c r="E43" s="167" t="s">
        <v>1917</v>
      </c>
      <c r="F43" s="161" t="s">
        <v>4760</v>
      </c>
      <c r="G43" s="161" t="s">
        <v>4825</v>
      </c>
      <c r="H43" s="56"/>
    </row>
    <row r="44" spans="1:8" ht="42.75" x14ac:dyDescent="0.2">
      <c r="A44" s="159"/>
      <c r="B44" s="160"/>
      <c r="C44" s="161" t="s">
        <v>1843</v>
      </c>
      <c r="D44" s="161" t="s">
        <v>4651</v>
      </c>
      <c r="E44" s="167" t="s">
        <v>1919</v>
      </c>
      <c r="F44" s="161" t="s">
        <v>4761</v>
      </c>
      <c r="G44" s="161" t="s">
        <v>1894</v>
      </c>
      <c r="H44" s="104" t="s">
        <v>2029</v>
      </c>
    </row>
    <row r="45" spans="1:8" ht="384.75" x14ac:dyDescent="0.25">
      <c r="A45" s="159"/>
      <c r="B45" s="160"/>
      <c r="C45" s="161" t="s">
        <v>1844</v>
      </c>
      <c r="D45" s="161" t="s">
        <v>4652</v>
      </c>
      <c r="E45" s="161" t="s">
        <v>129</v>
      </c>
      <c r="F45" s="161" t="s">
        <v>4089</v>
      </c>
      <c r="G45" s="161" t="s">
        <v>1894</v>
      </c>
      <c r="H45" s="56"/>
    </row>
    <row r="46" spans="1:8" ht="28.5" x14ac:dyDescent="0.2">
      <c r="A46" s="159"/>
      <c r="B46" s="160"/>
      <c r="C46" s="161" t="s">
        <v>1845</v>
      </c>
      <c r="D46" s="161" t="s">
        <v>1846</v>
      </c>
      <c r="E46" s="164" t="s">
        <v>1910</v>
      </c>
      <c r="F46" s="161" t="s">
        <v>1911</v>
      </c>
      <c r="G46" s="161" t="s">
        <v>4091</v>
      </c>
      <c r="H46" s="94" t="s">
        <v>1912</v>
      </c>
    </row>
    <row r="47" spans="1:8" ht="85.5" x14ac:dyDescent="0.25">
      <c r="A47" s="159"/>
      <c r="B47" s="160"/>
      <c r="C47" s="161" t="s">
        <v>1847</v>
      </c>
      <c r="D47" s="161" t="s">
        <v>1848</v>
      </c>
      <c r="E47" s="161" t="s">
        <v>1913</v>
      </c>
      <c r="F47" s="161" t="s">
        <v>4762</v>
      </c>
      <c r="G47" s="161" t="s">
        <v>1898</v>
      </c>
      <c r="H47" s="56"/>
    </row>
    <row r="48" spans="1:8" x14ac:dyDescent="0.25">
      <c r="A48" s="159"/>
      <c r="B48" s="160"/>
      <c r="C48" s="161" t="s">
        <v>1849</v>
      </c>
      <c r="D48" s="161" t="s">
        <v>4653</v>
      </c>
      <c r="E48" s="161" t="s">
        <v>1924</v>
      </c>
      <c r="F48" s="161" t="s">
        <v>4763</v>
      </c>
      <c r="G48" s="161" t="s">
        <v>1898</v>
      </c>
      <c r="H48" s="56"/>
    </row>
    <row r="49" spans="1:8" ht="85.5" x14ac:dyDescent="0.25">
      <c r="A49" s="159"/>
      <c r="B49" s="160"/>
      <c r="C49" s="161" t="s">
        <v>1850</v>
      </c>
      <c r="D49" s="161" t="s">
        <v>4654</v>
      </c>
      <c r="E49" s="161" t="s">
        <v>1913</v>
      </c>
      <c r="F49" s="161" t="s">
        <v>4764</v>
      </c>
      <c r="G49" s="161" t="s">
        <v>1899</v>
      </c>
      <c r="H49" s="56"/>
    </row>
    <row r="50" spans="1:8" x14ac:dyDescent="0.25">
      <c r="A50" s="159"/>
      <c r="B50" s="160"/>
      <c r="C50" s="161" t="s">
        <v>1851</v>
      </c>
      <c r="D50" s="161" t="s">
        <v>4655</v>
      </c>
      <c r="E50" s="161" t="s">
        <v>1924</v>
      </c>
      <c r="F50" s="161" t="s">
        <v>4765</v>
      </c>
      <c r="G50" s="161" t="s">
        <v>1899</v>
      </c>
      <c r="H50" s="56"/>
    </row>
    <row r="51" spans="1:8" x14ac:dyDescent="0.2">
      <c r="A51" s="159"/>
      <c r="B51" s="160"/>
      <c r="C51" s="161" t="s">
        <v>1852</v>
      </c>
      <c r="D51" s="161" t="s">
        <v>4656</v>
      </c>
      <c r="E51" s="164" t="s">
        <v>1910</v>
      </c>
      <c r="F51" s="161" t="s">
        <v>4751</v>
      </c>
      <c r="G51" s="161" t="s">
        <v>1894</v>
      </c>
      <c r="H51" s="94" t="s">
        <v>1912</v>
      </c>
    </row>
    <row r="52" spans="1:8" ht="28.5" x14ac:dyDescent="0.25">
      <c r="A52" s="159"/>
      <c r="B52" s="160"/>
      <c r="C52" s="161" t="s">
        <v>1853</v>
      </c>
      <c r="D52" s="161" t="s">
        <v>1854</v>
      </c>
      <c r="E52" s="163" t="s">
        <v>1903</v>
      </c>
      <c r="F52" s="163" t="s">
        <v>4746</v>
      </c>
      <c r="G52" s="161" t="s">
        <v>4826</v>
      </c>
      <c r="H52" s="56"/>
    </row>
    <row r="53" spans="1:8" ht="28.5" x14ac:dyDescent="0.25">
      <c r="A53" s="159"/>
      <c r="B53" s="160"/>
      <c r="C53" s="161" t="s">
        <v>1855</v>
      </c>
      <c r="D53" s="161" t="s">
        <v>1856</v>
      </c>
      <c r="E53" s="166" t="s">
        <v>1923</v>
      </c>
      <c r="F53" s="161" t="s">
        <v>4758</v>
      </c>
      <c r="G53" s="161" t="s">
        <v>4826</v>
      </c>
      <c r="H53" s="56"/>
    </row>
    <row r="54" spans="1:8" x14ac:dyDescent="0.25">
      <c r="A54" s="159"/>
      <c r="B54" s="160"/>
      <c r="C54" s="161" t="s">
        <v>1857</v>
      </c>
      <c r="D54" s="161" t="s">
        <v>1858</v>
      </c>
      <c r="E54" s="161" t="s">
        <v>1926</v>
      </c>
      <c r="F54" s="161" t="s">
        <v>4766</v>
      </c>
      <c r="G54" s="161" t="s">
        <v>1900</v>
      </c>
      <c r="H54" s="56"/>
    </row>
    <row r="55" spans="1:8" ht="28.5" x14ac:dyDescent="0.25">
      <c r="A55" s="159"/>
      <c r="B55" s="160"/>
      <c r="C55" s="161" t="s">
        <v>1859</v>
      </c>
      <c r="D55" s="161" t="s">
        <v>1860</v>
      </c>
      <c r="E55" s="161" t="s">
        <v>1909</v>
      </c>
      <c r="F55" s="161" t="s">
        <v>4748</v>
      </c>
      <c r="G55" s="161" t="s">
        <v>4822</v>
      </c>
      <c r="H55" s="56"/>
    </row>
    <row r="56" spans="1:8" ht="28.5" x14ac:dyDescent="0.25">
      <c r="A56" s="159"/>
      <c r="B56" s="160"/>
      <c r="C56" s="161" t="s">
        <v>1861</v>
      </c>
      <c r="D56" s="161" t="s">
        <v>1862</v>
      </c>
      <c r="E56" s="163" t="s">
        <v>1908</v>
      </c>
      <c r="F56" s="159" t="s">
        <v>4749</v>
      </c>
      <c r="G56" s="161" t="s">
        <v>4822</v>
      </c>
      <c r="H56" s="56"/>
    </row>
    <row r="57" spans="1:8" ht="42.75" x14ac:dyDescent="0.25">
      <c r="A57" s="159"/>
      <c r="B57" s="160"/>
      <c r="C57" s="161" t="s">
        <v>1863</v>
      </c>
      <c r="D57" s="161" t="s">
        <v>1864</v>
      </c>
      <c r="E57" s="161" t="s">
        <v>1927</v>
      </c>
      <c r="F57" s="161" t="s">
        <v>4767</v>
      </c>
      <c r="G57" s="161" t="s">
        <v>4825</v>
      </c>
      <c r="H57" s="56"/>
    </row>
    <row r="58" spans="1:8" ht="142.5" x14ac:dyDescent="0.25">
      <c r="A58" s="159"/>
      <c r="B58" s="160"/>
      <c r="C58" s="161" t="s">
        <v>1865</v>
      </c>
      <c r="D58" s="161" t="s">
        <v>1866</v>
      </c>
      <c r="E58" s="161" t="s">
        <v>1929</v>
      </c>
      <c r="F58" s="161" t="s">
        <v>4768</v>
      </c>
      <c r="G58" s="161" t="s">
        <v>1896</v>
      </c>
      <c r="H58" s="56"/>
    </row>
    <row r="59" spans="1:8" ht="142.5" x14ac:dyDescent="0.25">
      <c r="A59" s="159"/>
      <c r="B59" s="160"/>
      <c r="C59" s="161" t="s">
        <v>1867</v>
      </c>
      <c r="D59" s="161" t="s">
        <v>1868</v>
      </c>
      <c r="E59" s="161" t="s">
        <v>1929</v>
      </c>
      <c r="F59" s="161" t="s">
        <v>4768</v>
      </c>
      <c r="G59" s="161" t="s">
        <v>1896</v>
      </c>
      <c r="H59" s="56"/>
    </row>
    <row r="60" spans="1:8" ht="142.5" x14ac:dyDescent="0.25">
      <c r="A60" s="159"/>
      <c r="B60" s="160"/>
      <c r="C60" s="161" t="s">
        <v>1869</v>
      </c>
      <c r="D60" s="161" t="s">
        <v>1870</v>
      </c>
      <c r="E60" s="161" t="s">
        <v>1929</v>
      </c>
      <c r="F60" s="161" t="s">
        <v>1928</v>
      </c>
      <c r="G60" s="161" t="s">
        <v>1896</v>
      </c>
      <c r="H60" s="56"/>
    </row>
    <row r="61" spans="1:8" ht="142.5" x14ac:dyDescent="0.25">
      <c r="A61" s="159"/>
      <c r="B61" s="160"/>
      <c r="C61" s="161" t="s">
        <v>1871</v>
      </c>
      <c r="D61" s="161" t="s">
        <v>1872</v>
      </c>
      <c r="E61" s="161" t="s">
        <v>1929</v>
      </c>
      <c r="F61" s="161" t="s">
        <v>4768</v>
      </c>
      <c r="G61" s="161" t="s">
        <v>1896</v>
      </c>
      <c r="H61" s="56"/>
    </row>
    <row r="62" spans="1:8" ht="28.5" x14ac:dyDescent="0.25">
      <c r="A62" s="159"/>
      <c r="B62" s="160"/>
      <c r="C62" s="161" t="s">
        <v>1874</v>
      </c>
      <c r="D62" s="161" t="s">
        <v>1875</v>
      </c>
      <c r="E62" s="161" t="s">
        <v>89</v>
      </c>
      <c r="F62" s="161" t="s">
        <v>4769</v>
      </c>
      <c r="G62" s="161" t="s">
        <v>1896</v>
      </c>
      <c r="H62" s="56"/>
    </row>
    <row r="63" spans="1:8" ht="28.5" x14ac:dyDescent="0.25">
      <c r="A63" s="159"/>
      <c r="B63" s="160"/>
      <c r="C63" s="161" t="s">
        <v>1876</v>
      </c>
      <c r="D63" s="161" t="s">
        <v>1877</v>
      </c>
      <c r="E63" s="161" t="s">
        <v>89</v>
      </c>
      <c r="F63" s="161" t="s">
        <v>4769</v>
      </c>
      <c r="G63" s="161" t="s">
        <v>1896</v>
      </c>
      <c r="H63" s="56"/>
    </row>
    <row r="64" spans="1:8" x14ac:dyDescent="0.25">
      <c r="A64" s="159"/>
      <c r="B64" s="160"/>
      <c r="C64" s="161" t="s">
        <v>1878</v>
      </c>
      <c r="D64" s="161" t="s">
        <v>1879</v>
      </c>
      <c r="E64" s="161"/>
      <c r="F64" s="161"/>
      <c r="G64" s="161" t="s">
        <v>1896</v>
      </c>
      <c r="H64" s="56"/>
    </row>
    <row r="65" spans="1:8" x14ac:dyDescent="0.25">
      <c r="A65" s="159"/>
      <c r="B65" s="160"/>
      <c r="C65" s="161" t="s">
        <v>1880</v>
      </c>
      <c r="D65" s="161" t="s">
        <v>1881</v>
      </c>
      <c r="E65" s="161"/>
      <c r="F65" s="161"/>
      <c r="G65" s="161" t="s">
        <v>1896</v>
      </c>
      <c r="H65" s="56"/>
    </row>
    <row r="66" spans="1:8" x14ac:dyDescent="0.25">
      <c r="A66" s="159"/>
      <c r="B66" s="160"/>
      <c r="C66" s="161" t="s">
        <v>1882</v>
      </c>
      <c r="D66" s="161" t="s">
        <v>1883</v>
      </c>
      <c r="E66" s="161"/>
      <c r="F66" s="161"/>
      <c r="G66" s="161" t="s">
        <v>1896</v>
      </c>
      <c r="H66" s="56"/>
    </row>
    <row r="67" spans="1:8" ht="28.5" x14ac:dyDescent="0.25">
      <c r="A67" s="159"/>
      <c r="B67" s="160"/>
      <c r="C67" s="161" t="s">
        <v>1884</v>
      </c>
      <c r="D67" s="161" t="s">
        <v>1885</v>
      </c>
      <c r="E67" s="161" t="s">
        <v>89</v>
      </c>
      <c r="F67" s="161" t="s">
        <v>4769</v>
      </c>
      <c r="G67" s="161" t="s">
        <v>4826</v>
      </c>
      <c r="H67" s="56"/>
    </row>
    <row r="68" spans="1:8" ht="28.5" x14ac:dyDescent="0.25">
      <c r="A68" s="159"/>
      <c r="B68" s="160"/>
      <c r="C68" s="161" t="s">
        <v>1886</v>
      </c>
      <c r="D68" s="161" t="s">
        <v>4657</v>
      </c>
      <c r="E68" s="161" t="s">
        <v>89</v>
      </c>
      <c r="F68" s="161" t="s">
        <v>4769</v>
      </c>
      <c r="G68" s="161" t="s">
        <v>1896</v>
      </c>
      <c r="H68" s="56"/>
    </row>
    <row r="69" spans="1:8" ht="92.25" customHeight="1" x14ac:dyDescent="0.25">
      <c r="A69" s="159"/>
      <c r="B69" s="160"/>
      <c r="C69" s="161" t="s">
        <v>1887</v>
      </c>
      <c r="D69" s="161" t="s">
        <v>4658</v>
      </c>
      <c r="E69" s="161" t="s">
        <v>1930</v>
      </c>
      <c r="F69" s="161" t="s">
        <v>4770</v>
      </c>
      <c r="G69" s="161" t="s">
        <v>1902</v>
      </c>
      <c r="H69" s="56"/>
    </row>
    <row r="70" spans="1:8" x14ac:dyDescent="0.25">
      <c r="A70" s="159"/>
      <c r="B70" s="160"/>
      <c r="C70" s="161" t="s">
        <v>1888</v>
      </c>
      <c r="D70" s="161" t="s">
        <v>1889</v>
      </c>
      <c r="E70" s="163" t="s">
        <v>1907</v>
      </c>
      <c r="F70" s="161" t="s">
        <v>4748</v>
      </c>
      <c r="G70" s="161" t="s">
        <v>4822</v>
      </c>
      <c r="H70" s="56"/>
    </row>
    <row r="71" spans="1:8" x14ac:dyDescent="0.25">
      <c r="A71" s="159"/>
      <c r="B71" s="160"/>
      <c r="C71" s="161" t="s">
        <v>1890</v>
      </c>
      <c r="D71" s="161" t="s">
        <v>1891</v>
      </c>
      <c r="E71" s="163" t="s">
        <v>1907</v>
      </c>
      <c r="F71" s="161" t="s">
        <v>4748</v>
      </c>
      <c r="G71" s="161" t="s">
        <v>4822</v>
      </c>
      <c r="H71" s="89"/>
    </row>
    <row r="72" spans="1:8" ht="15" x14ac:dyDescent="0.25">
      <c r="A72" s="112" t="s">
        <v>4645</v>
      </c>
      <c r="B72" s="112"/>
      <c r="C72" s="112"/>
      <c r="D72" s="112"/>
      <c r="E72" s="112"/>
      <c r="F72" s="112"/>
      <c r="G72" s="112"/>
      <c r="H72" s="112"/>
    </row>
    <row r="73" spans="1:8" x14ac:dyDescent="0.25">
      <c r="A73" s="159"/>
      <c r="B73" s="160" t="s">
        <v>3012</v>
      </c>
      <c r="C73" s="159" t="s">
        <v>1786</v>
      </c>
      <c r="D73" s="159" t="s">
        <v>23</v>
      </c>
      <c r="E73" s="161" t="s">
        <v>24</v>
      </c>
      <c r="F73" s="161" t="s">
        <v>4117</v>
      </c>
      <c r="G73" s="161" t="s">
        <v>1894</v>
      </c>
      <c r="H73" s="161"/>
    </row>
    <row r="74" spans="1:8" x14ac:dyDescent="0.25">
      <c r="A74" s="159"/>
      <c r="B74" s="160" t="s">
        <v>3012</v>
      </c>
      <c r="C74" s="159" t="s">
        <v>70</v>
      </c>
      <c r="D74" s="159" t="s">
        <v>1892</v>
      </c>
      <c r="E74" s="159"/>
      <c r="F74" s="159"/>
      <c r="G74" s="161" t="s">
        <v>1894</v>
      </c>
      <c r="H74" s="161"/>
    </row>
    <row r="75" spans="1:8" ht="42.75" x14ac:dyDescent="0.25">
      <c r="A75" s="159"/>
      <c r="B75" s="160"/>
      <c r="C75" s="159" t="s">
        <v>101</v>
      </c>
      <c r="D75" s="159" t="s">
        <v>1990</v>
      </c>
      <c r="E75" s="161" t="s">
        <v>79</v>
      </c>
      <c r="F75" s="161" t="s">
        <v>4745</v>
      </c>
      <c r="G75" s="161" t="s">
        <v>1894</v>
      </c>
      <c r="H75" s="161"/>
    </row>
    <row r="76" spans="1:8" x14ac:dyDescent="0.25">
      <c r="A76" s="159"/>
      <c r="B76" s="160" t="s">
        <v>3012</v>
      </c>
      <c r="C76" s="159" t="s">
        <v>84</v>
      </c>
      <c r="D76" s="159" t="s">
        <v>1893</v>
      </c>
      <c r="E76" s="163" t="s">
        <v>1903</v>
      </c>
      <c r="F76" s="163" t="s">
        <v>4746</v>
      </c>
      <c r="G76" s="161" t="s">
        <v>1894</v>
      </c>
      <c r="H76" s="161"/>
    </row>
    <row r="77" spans="1:8" x14ac:dyDescent="0.25">
      <c r="A77" s="159"/>
      <c r="B77" s="160"/>
      <c r="C77" s="159" t="s">
        <v>1792</v>
      </c>
      <c r="D77" s="159" t="s">
        <v>4659</v>
      </c>
      <c r="E77" s="161" t="s">
        <v>24</v>
      </c>
      <c r="F77" s="161" t="s">
        <v>4117</v>
      </c>
      <c r="G77" s="161" t="s">
        <v>1894</v>
      </c>
      <c r="H77" s="161"/>
    </row>
    <row r="78" spans="1:8" x14ac:dyDescent="0.25">
      <c r="A78" s="159"/>
      <c r="B78" s="160"/>
      <c r="C78" s="159" t="s">
        <v>1931</v>
      </c>
      <c r="D78" s="159" t="s">
        <v>1991</v>
      </c>
      <c r="E78" s="163" t="s">
        <v>1903</v>
      </c>
      <c r="F78" s="163" t="s">
        <v>4746</v>
      </c>
      <c r="G78" s="161" t="s">
        <v>1896</v>
      </c>
      <c r="H78" s="161"/>
    </row>
    <row r="79" spans="1:8" x14ac:dyDescent="0.25">
      <c r="A79" s="159"/>
      <c r="B79" s="160"/>
      <c r="C79" s="159" t="s">
        <v>1932</v>
      </c>
      <c r="D79" s="159" t="s">
        <v>4660</v>
      </c>
      <c r="E79" s="161" t="s">
        <v>24</v>
      </c>
      <c r="F79" s="161" t="s">
        <v>4117</v>
      </c>
      <c r="G79" s="161" t="s">
        <v>1894</v>
      </c>
      <c r="H79" s="161"/>
    </row>
    <row r="80" spans="1:8" x14ac:dyDescent="0.25">
      <c r="A80" s="159"/>
      <c r="B80" s="160"/>
      <c r="C80" s="159" t="s">
        <v>1933</v>
      </c>
      <c r="D80" s="159" t="s">
        <v>4661</v>
      </c>
      <c r="E80" s="163" t="s">
        <v>1903</v>
      </c>
      <c r="F80" s="163" t="s">
        <v>4746</v>
      </c>
      <c r="G80" s="161" t="s">
        <v>1896</v>
      </c>
      <c r="H80" s="161"/>
    </row>
    <row r="81" spans="1:8" x14ac:dyDescent="0.25">
      <c r="A81" s="159"/>
      <c r="B81" s="160"/>
      <c r="C81" s="159" t="s">
        <v>1934</v>
      </c>
      <c r="D81" s="159" t="s">
        <v>4662</v>
      </c>
      <c r="E81" s="161" t="s">
        <v>24</v>
      </c>
      <c r="F81" s="161" t="s">
        <v>4117</v>
      </c>
      <c r="G81" s="161" t="s">
        <v>1894</v>
      </c>
      <c r="H81" s="161"/>
    </row>
    <row r="82" spans="1:8" x14ac:dyDescent="0.25">
      <c r="A82" s="159"/>
      <c r="B82" s="160"/>
      <c r="C82" s="159" t="s">
        <v>1935</v>
      </c>
      <c r="D82" s="159" t="s">
        <v>1992</v>
      </c>
      <c r="E82" s="163" t="s">
        <v>1903</v>
      </c>
      <c r="F82" s="163" t="s">
        <v>4746</v>
      </c>
      <c r="G82" s="161" t="s">
        <v>1896</v>
      </c>
      <c r="H82" s="161"/>
    </row>
    <row r="83" spans="1:8" x14ac:dyDescent="0.25">
      <c r="A83" s="159"/>
      <c r="B83" s="160"/>
      <c r="C83" s="159" t="s">
        <v>1936</v>
      </c>
      <c r="D83" s="159" t="s">
        <v>4663</v>
      </c>
      <c r="E83" s="161" t="s">
        <v>24</v>
      </c>
      <c r="F83" s="161" t="s">
        <v>4117</v>
      </c>
      <c r="G83" s="161" t="s">
        <v>1894</v>
      </c>
      <c r="H83" s="161"/>
    </row>
    <row r="84" spans="1:8" x14ac:dyDescent="0.25">
      <c r="A84" s="159"/>
      <c r="B84" s="160"/>
      <c r="C84" s="159" t="s">
        <v>1937</v>
      </c>
      <c r="D84" s="159" t="s">
        <v>4664</v>
      </c>
      <c r="E84" s="163" t="s">
        <v>1903</v>
      </c>
      <c r="F84" s="163" t="s">
        <v>4746</v>
      </c>
      <c r="G84" s="161" t="s">
        <v>1896</v>
      </c>
      <c r="H84" s="161"/>
    </row>
    <row r="85" spans="1:8" ht="28.5" x14ac:dyDescent="0.25">
      <c r="A85" s="159"/>
      <c r="B85" s="160"/>
      <c r="C85" s="159" t="s">
        <v>1804</v>
      </c>
      <c r="D85" s="159" t="s">
        <v>1993</v>
      </c>
      <c r="E85" s="165" t="s">
        <v>2030</v>
      </c>
      <c r="F85" s="161" t="s">
        <v>4771</v>
      </c>
      <c r="G85" s="161" t="s">
        <v>1896</v>
      </c>
      <c r="H85" s="161"/>
    </row>
    <row r="86" spans="1:8" ht="28.5" x14ac:dyDescent="0.25">
      <c r="A86" s="159"/>
      <c r="B86" s="160"/>
      <c r="C86" s="159" t="s">
        <v>1938</v>
      </c>
      <c r="D86" s="161" t="s">
        <v>4092</v>
      </c>
      <c r="E86" s="159"/>
      <c r="F86" s="159"/>
      <c r="G86" s="161" t="s">
        <v>1896</v>
      </c>
      <c r="H86" s="161"/>
    </row>
    <row r="87" spans="1:8" ht="28.5" x14ac:dyDescent="0.25">
      <c r="A87" s="159"/>
      <c r="B87" s="160"/>
      <c r="C87" s="159" t="s">
        <v>1939</v>
      </c>
      <c r="D87" s="159" t="s">
        <v>1994</v>
      </c>
      <c r="E87" s="165" t="s">
        <v>2030</v>
      </c>
      <c r="F87" s="161" t="s">
        <v>4771</v>
      </c>
      <c r="G87" s="161" t="s">
        <v>1896</v>
      </c>
      <c r="H87" s="161"/>
    </row>
    <row r="88" spans="1:8" x14ac:dyDescent="0.25">
      <c r="A88" s="159"/>
      <c r="B88" s="160"/>
      <c r="C88" s="159" t="s">
        <v>1940</v>
      </c>
      <c r="D88" s="159" t="s">
        <v>1995</v>
      </c>
      <c r="E88" s="159" t="s">
        <v>1909</v>
      </c>
      <c r="F88" s="159" t="s">
        <v>4748</v>
      </c>
      <c r="G88" s="161" t="s">
        <v>1896</v>
      </c>
      <c r="H88" s="161"/>
    </row>
    <row r="89" spans="1:8" ht="28.5" x14ac:dyDescent="0.25">
      <c r="A89" s="159"/>
      <c r="B89" s="160"/>
      <c r="C89" s="159" t="s">
        <v>1855</v>
      </c>
      <c r="D89" s="159" t="s">
        <v>1996</v>
      </c>
      <c r="E89" s="161" t="s">
        <v>2031</v>
      </c>
      <c r="F89" s="161" t="s">
        <v>4772</v>
      </c>
      <c r="G89" s="161" t="s">
        <v>4822</v>
      </c>
      <c r="H89" s="161"/>
    </row>
    <row r="90" spans="1:8" x14ac:dyDescent="0.25">
      <c r="A90" s="159"/>
      <c r="B90" s="160"/>
      <c r="C90" s="159" t="s">
        <v>1941</v>
      </c>
      <c r="D90" s="159" t="s">
        <v>1997</v>
      </c>
      <c r="E90" s="163" t="s">
        <v>1903</v>
      </c>
      <c r="F90" s="163" t="s">
        <v>4746</v>
      </c>
      <c r="G90" s="161" t="s">
        <v>4825</v>
      </c>
      <c r="H90" s="161"/>
    </row>
    <row r="91" spans="1:8" x14ac:dyDescent="0.25">
      <c r="A91" s="159"/>
      <c r="B91" s="160"/>
      <c r="C91" s="159" t="s">
        <v>1942</v>
      </c>
      <c r="D91" s="159" t="s">
        <v>1998</v>
      </c>
      <c r="E91" s="163" t="s">
        <v>1903</v>
      </c>
      <c r="F91" s="163" t="s">
        <v>4746</v>
      </c>
      <c r="G91" s="161" t="s">
        <v>4825</v>
      </c>
      <c r="H91" s="161"/>
    </row>
    <row r="92" spans="1:8" x14ac:dyDescent="0.25">
      <c r="A92" s="159"/>
      <c r="B92" s="160"/>
      <c r="C92" s="159" t="s">
        <v>1943</v>
      </c>
      <c r="D92" s="159" t="s">
        <v>1999</v>
      </c>
      <c r="E92" s="163" t="s">
        <v>1903</v>
      </c>
      <c r="F92" s="163" t="s">
        <v>4746</v>
      </c>
      <c r="G92" s="161" t="s">
        <v>4825</v>
      </c>
      <c r="H92" s="161"/>
    </row>
    <row r="93" spans="1:8" x14ac:dyDescent="0.25">
      <c r="A93" s="159"/>
      <c r="B93" s="160"/>
      <c r="C93" s="159" t="s">
        <v>1944</v>
      </c>
      <c r="D93" s="159" t="s">
        <v>2000</v>
      </c>
      <c r="E93" s="163" t="s">
        <v>1903</v>
      </c>
      <c r="F93" s="163" t="s">
        <v>4746</v>
      </c>
      <c r="G93" s="161" t="s">
        <v>4825</v>
      </c>
      <c r="H93" s="161"/>
    </row>
    <row r="94" spans="1:8" ht="28.5" x14ac:dyDescent="0.25">
      <c r="A94" s="159"/>
      <c r="B94" s="160"/>
      <c r="C94" s="159" t="s">
        <v>1945</v>
      </c>
      <c r="D94" s="159" t="s">
        <v>2001</v>
      </c>
      <c r="E94" s="167" t="s">
        <v>1919</v>
      </c>
      <c r="F94" s="161" t="s">
        <v>4761</v>
      </c>
      <c r="G94" s="161" t="s">
        <v>4825</v>
      </c>
      <c r="H94" s="161"/>
    </row>
    <row r="95" spans="1:8" ht="28.5" x14ac:dyDescent="0.25">
      <c r="A95" s="159"/>
      <c r="B95" s="160"/>
      <c r="C95" s="159" t="s">
        <v>1946</v>
      </c>
      <c r="D95" s="159" t="s">
        <v>2002</v>
      </c>
      <c r="E95" s="167" t="s">
        <v>1919</v>
      </c>
      <c r="F95" s="161" t="s">
        <v>4761</v>
      </c>
      <c r="G95" s="161" t="s">
        <v>4825</v>
      </c>
      <c r="H95" s="161"/>
    </row>
    <row r="96" spans="1:8" ht="28.5" x14ac:dyDescent="0.25">
      <c r="A96" s="159"/>
      <c r="B96" s="160"/>
      <c r="C96" s="159" t="s">
        <v>1947</v>
      </c>
      <c r="D96" s="159" t="s">
        <v>2003</v>
      </c>
      <c r="E96" s="167" t="s">
        <v>1919</v>
      </c>
      <c r="F96" s="161" t="s">
        <v>4761</v>
      </c>
      <c r="G96" s="161" t="s">
        <v>4825</v>
      </c>
      <c r="H96" s="161"/>
    </row>
    <row r="97" spans="1:8" ht="28.5" x14ac:dyDescent="0.25">
      <c r="A97" s="159"/>
      <c r="B97" s="160"/>
      <c r="C97" s="159" t="s">
        <v>1948</v>
      </c>
      <c r="D97" s="159" t="s">
        <v>2004</v>
      </c>
      <c r="E97" s="167" t="s">
        <v>1919</v>
      </c>
      <c r="F97" s="161" t="s">
        <v>4761</v>
      </c>
      <c r="G97" s="161" t="s">
        <v>4825</v>
      </c>
      <c r="H97" s="161"/>
    </row>
    <row r="98" spans="1:8" x14ac:dyDescent="0.25">
      <c r="A98" s="159"/>
      <c r="B98" s="160"/>
      <c r="C98" s="159" t="s">
        <v>1824</v>
      </c>
      <c r="D98" s="159" t="s">
        <v>1842</v>
      </c>
      <c r="E98" s="164" t="s">
        <v>1910</v>
      </c>
      <c r="F98" s="161" t="s">
        <v>4751</v>
      </c>
      <c r="G98" s="161" t="s">
        <v>1896</v>
      </c>
      <c r="H98" s="161"/>
    </row>
    <row r="99" spans="1:8" ht="85.5" x14ac:dyDescent="0.25">
      <c r="A99" s="159"/>
      <c r="B99" s="160"/>
      <c r="C99" s="159" t="s">
        <v>1949</v>
      </c>
      <c r="D99" s="159" t="s">
        <v>4665</v>
      </c>
      <c r="E99" s="161" t="s">
        <v>2032</v>
      </c>
      <c r="F99" s="161" t="s">
        <v>4773</v>
      </c>
      <c r="G99" s="161" t="s">
        <v>4825</v>
      </c>
      <c r="H99" s="161"/>
    </row>
    <row r="100" spans="1:8" ht="85.5" x14ac:dyDescent="0.25">
      <c r="A100" s="159"/>
      <c r="B100" s="160"/>
      <c r="C100" s="159" t="s">
        <v>1950</v>
      </c>
      <c r="D100" s="159" t="s">
        <v>4666</v>
      </c>
      <c r="E100" s="161" t="s">
        <v>2033</v>
      </c>
      <c r="F100" s="161" t="s">
        <v>4774</v>
      </c>
      <c r="G100" s="161" t="s">
        <v>4825</v>
      </c>
      <c r="H100" s="161"/>
    </row>
    <row r="101" spans="1:8" x14ac:dyDescent="0.25">
      <c r="A101" s="159"/>
      <c r="B101" s="160"/>
      <c r="C101" s="159" t="s">
        <v>1951</v>
      </c>
      <c r="D101" s="159" t="s">
        <v>4667</v>
      </c>
      <c r="E101" s="164" t="s">
        <v>1910</v>
      </c>
      <c r="F101" s="161" t="s">
        <v>4751</v>
      </c>
      <c r="G101" s="161" t="s">
        <v>1894</v>
      </c>
      <c r="H101" s="161"/>
    </row>
    <row r="102" spans="1:8" ht="99.75" x14ac:dyDescent="0.25">
      <c r="A102" s="159"/>
      <c r="B102" s="160"/>
      <c r="C102" s="159" t="s">
        <v>1952</v>
      </c>
      <c r="D102" s="159" t="s">
        <v>4668</v>
      </c>
      <c r="E102" s="161" t="s">
        <v>1916</v>
      </c>
      <c r="F102" s="161" t="s">
        <v>4759</v>
      </c>
      <c r="G102" s="161" t="s">
        <v>1894</v>
      </c>
      <c r="H102" s="161"/>
    </row>
    <row r="103" spans="1:8" ht="142.5" x14ac:dyDescent="0.25">
      <c r="A103" s="159"/>
      <c r="B103" s="160"/>
      <c r="C103" s="159" t="s">
        <v>1953</v>
      </c>
      <c r="D103" s="159" t="s">
        <v>4669</v>
      </c>
      <c r="E103" s="161" t="s">
        <v>2034</v>
      </c>
      <c r="F103" s="161" t="s">
        <v>4775</v>
      </c>
      <c r="G103" s="161" t="s">
        <v>1894</v>
      </c>
      <c r="H103" s="161"/>
    </row>
    <row r="104" spans="1:8" ht="42.75" x14ac:dyDescent="0.2">
      <c r="A104" s="159"/>
      <c r="B104" s="160"/>
      <c r="C104" s="159" t="s">
        <v>1954</v>
      </c>
      <c r="D104" s="159" t="s">
        <v>4670</v>
      </c>
      <c r="E104" s="167" t="s">
        <v>1919</v>
      </c>
      <c r="F104" s="161" t="s">
        <v>4761</v>
      </c>
      <c r="G104" s="161" t="s">
        <v>4825</v>
      </c>
      <c r="H104" s="168" t="s">
        <v>2029</v>
      </c>
    </row>
    <row r="105" spans="1:8" ht="42.75" x14ac:dyDescent="0.2">
      <c r="A105" s="159"/>
      <c r="B105" s="160"/>
      <c r="C105" s="159" t="s">
        <v>1843</v>
      </c>
      <c r="D105" s="159" t="s">
        <v>4671</v>
      </c>
      <c r="E105" s="167" t="s">
        <v>1919</v>
      </c>
      <c r="F105" s="161" t="s">
        <v>4761</v>
      </c>
      <c r="G105" s="161" t="s">
        <v>1894</v>
      </c>
      <c r="H105" s="169" t="s">
        <v>2029</v>
      </c>
    </row>
    <row r="106" spans="1:8" ht="384.75" x14ac:dyDescent="0.25">
      <c r="A106" s="159"/>
      <c r="B106" s="160"/>
      <c r="C106" s="159" t="s">
        <v>1844</v>
      </c>
      <c r="D106" s="159" t="s">
        <v>4672</v>
      </c>
      <c r="E106" s="161" t="s">
        <v>129</v>
      </c>
      <c r="F106" s="161" t="s">
        <v>4089</v>
      </c>
      <c r="G106" s="161" t="s">
        <v>1894</v>
      </c>
      <c r="H106" s="161"/>
    </row>
    <row r="107" spans="1:8" ht="85.5" x14ac:dyDescent="0.25">
      <c r="A107" s="159"/>
      <c r="B107" s="160"/>
      <c r="C107" s="159" t="s">
        <v>1847</v>
      </c>
      <c r="D107" s="159" t="s">
        <v>4673</v>
      </c>
      <c r="E107" s="161" t="s">
        <v>1913</v>
      </c>
      <c r="F107" s="161" t="s">
        <v>4776</v>
      </c>
      <c r="G107" s="159" t="s">
        <v>2026</v>
      </c>
      <c r="H107" s="161"/>
    </row>
    <row r="108" spans="1:8" x14ac:dyDescent="0.25">
      <c r="A108" s="159"/>
      <c r="B108" s="160"/>
      <c r="C108" s="159" t="s">
        <v>1955</v>
      </c>
      <c r="D108" s="159" t="s">
        <v>4674</v>
      </c>
      <c r="E108" s="161" t="s">
        <v>1924</v>
      </c>
      <c r="F108" s="161" t="s">
        <v>4765</v>
      </c>
      <c r="G108" s="159" t="s">
        <v>2027</v>
      </c>
      <c r="H108" s="161"/>
    </row>
    <row r="109" spans="1:8" x14ac:dyDescent="0.25">
      <c r="A109" s="159"/>
      <c r="B109" s="160"/>
      <c r="C109" s="159" t="s">
        <v>1956</v>
      </c>
      <c r="D109" s="159" t="s">
        <v>4675</v>
      </c>
      <c r="E109" s="164" t="s">
        <v>1910</v>
      </c>
      <c r="F109" s="161" t="s">
        <v>4751</v>
      </c>
      <c r="G109" s="161" t="s">
        <v>1894</v>
      </c>
      <c r="H109" s="161"/>
    </row>
    <row r="110" spans="1:8" ht="99.75" x14ac:dyDescent="0.25">
      <c r="A110" s="159"/>
      <c r="B110" s="160"/>
      <c r="C110" s="159" t="s">
        <v>1957</v>
      </c>
      <c r="D110" s="159" t="s">
        <v>4676</v>
      </c>
      <c r="E110" s="161" t="s">
        <v>1916</v>
      </c>
      <c r="F110" s="161" t="s">
        <v>4759</v>
      </c>
      <c r="G110" s="161" t="s">
        <v>1894</v>
      </c>
      <c r="H110" s="161"/>
    </row>
    <row r="111" spans="1:8" ht="142.5" x14ac:dyDescent="0.25">
      <c r="A111" s="159"/>
      <c r="B111" s="160"/>
      <c r="C111" s="159" t="s">
        <v>1958</v>
      </c>
      <c r="D111" s="159" t="s">
        <v>4677</v>
      </c>
      <c r="E111" s="161" t="s">
        <v>2034</v>
      </c>
      <c r="F111" s="161" t="s">
        <v>4775</v>
      </c>
      <c r="G111" s="161" t="s">
        <v>1894</v>
      </c>
      <c r="H111" s="161"/>
    </row>
    <row r="112" spans="1:8" ht="42.75" x14ac:dyDescent="0.2">
      <c r="A112" s="159"/>
      <c r="B112" s="160"/>
      <c r="C112" s="159" t="s">
        <v>1959</v>
      </c>
      <c r="D112" s="159" t="s">
        <v>4678</v>
      </c>
      <c r="E112" s="167" t="s">
        <v>1919</v>
      </c>
      <c r="F112" s="161" t="s">
        <v>4761</v>
      </c>
      <c r="G112" s="161" t="s">
        <v>4825</v>
      </c>
      <c r="H112" s="169" t="s">
        <v>2029</v>
      </c>
    </row>
    <row r="113" spans="1:8" ht="42.75" x14ac:dyDescent="0.2">
      <c r="A113" s="159"/>
      <c r="B113" s="160"/>
      <c r="C113" s="159" t="s">
        <v>1960</v>
      </c>
      <c r="D113" s="159" t="s">
        <v>4679</v>
      </c>
      <c r="E113" s="167" t="s">
        <v>1919</v>
      </c>
      <c r="F113" s="161" t="s">
        <v>4761</v>
      </c>
      <c r="G113" s="161" t="s">
        <v>1894</v>
      </c>
      <c r="H113" s="169" t="s">
        <v>2029</v>
      </c>
    </row>
    <row r="114" spans="1:8" ht="384.75" x14ac:dyDescent="0.25">
      <c r="A114" s="159"/>
      <c r="B114" s="160"/>
      <c r="C114" s="159" t="s">
        <v>1961</v>
      </c>
      <c r="D114" s="159" t="s">
        <v>4680</v>
      </c>
      <c r="E114" s="161" t="s">
        <v>129</v>
      </c>
      <c r="F114" s="161" t="s">
        <v>4089</v>
      </c>
      <c r="G114" s="161" t="s">
        <v>1894</v>
      </c>
      <c r="H114" s="161"/>
    </row>
    <row r="115" spans="1:8" ht="85.5" x14ac:dyDescent="0.25">
      <c r="A115" s="159"/>
      <c r="B115" s="160"/>
      <c r="C115" s="159" t="s">
        <v>1962</v>
      </c>
      <c r="D115" s="159" t="s">
        <v>2005</v>
      </c>
      <c r="E115" s="161" t="s">
        <v>1913</v>
      </c>
      <c r="F115" s="161" t="s">
        <v>2035</v>
      </c>
      <c r="G115" s="159" t="s">
        <v>2026</v>
      </c>
      <c r="H115" s="161"/>
    </row>
    <row r="116" spans="1:8" x14ac:dyDescent="0.25">
      <c r="A116" s="159"/>
      <c r="B116" s="160"/>
      <c r="C116" s="159" t="s">
        <v>1963</v>
      </c>
      <c r="D116" s="159" t="s">
        <v>2006</v>
      </c>
      <c r="E116" s="161" t="s">
        <v>1924</v>
      </c>
      <c r="F116" s="161" t="s">
        <v>1925</v>
      </c>
      <c r="G116" s="159" t="s">
        <v>2027</v>
      </c>
      <c r="H116" s="161"/>
    </row>
    <row r="117" spans="1:8" ht="142.5" x14ac:dyDescent="0.25">
      <c r="A117" s="159"/>
      <c r="B117" s="160"/>
      <c r="C117" s="159" t="s">
        <v>1863</v>
      </c>
      <c r="D117" s="159" t="s">
        <v>1868</v>
      </c>
      <c r="E117" s="161" t="s">
        <v>1929</v>
      </c>
      <c r="F117" s="161" t="s">
        <v>4777</v>
      </c>
      <c r="G117" s="161" t="s">
        <v>1896</v>
      </c>
      <c r="H117" s="161"/>
    </row>
    <row r="118" spans="1:8" ht="142.5" x14ac:dyDescent="0.25">
      <c r="A118" s="159"/>
      <c r="B118" s="160"/>
      <c r="C118" s="159" t="s">
        <v>1964</v>
      </c>
      <c r="D118" s="159" t="s">
        <v>4681</v>
      </c>
      <c r="E118" s="161" t="s">
        <v>1929</v>
      </c>
      <c r="F118" s="161" t="s">
        <v>4777</v>
      </c>
      <c r="G118" s="161" t="s">
        <v>1896</v>
      </c>
      <c r="H118" s="161"/>
    </row>
    <row r="119" spans="1:8" ht="142.5" x14ac:dyDescent="0.25">
      <c r="A119" s="159"/>
      <c r="B119" s="160"/>
      <c r="C119" s="159" t="s">
        <v>1965</v>
      </c>
      <c r="D119" s="159" t="s">
        <v>4682</v>
      </c>
      <c r="E119" s="161" t="s">
        <v>1929</v>
      </c>
      <c r="F119" s="161" t="s">
        <v>4889</v>
      </c>
      <c r="G119" s="161" t="s">
        <v>1896</v>
      </c>
      <c r="H119" s="161"/>
    </row>
    <row r="120" spans="1:8" ht="142.5" x14ac:dyDescent="0.25">
      <c r="A120" s="159"/>
      <c r="B120" s="160"/>
      <c r="C120" s="159" t="s">
        <v>1966</v>
      </c>
      <c r="D120" s="159" t="s">
        <v>4683</v>
      </c>
      <c r="E120" s="161" t="s">
        <v>1929</v>
      </c>
      <c r="F120" s="161" t="s">
        <v>4777</v>
      </c>
      <c r="G120" s="161" t="s">
        <v>1896</v>
      </c>
      <c r="H120" s="161"/>
    </row>
    <row r="121" spans="1:8" ht="142.5" x14ac:dyDescent="0.25">
      <c r="A121" s="159"/>
      <c r="B121" s="160"/>
      <c r="C121" s="159" t="s">
        <v>1967</v>
      </c>
      <c r="D121" s="159" t="s">
        <v>4684</v>
      </c>
      <c r="E121" s="161" t="s">
        <v>1929</v>
      </c>
      <c r="F121" s="161" t="s">
        <v>4777</v>
      </c>
      <c r="G121" s="161" t="s">
        <v>1896</v>
      </c>
      <c r="H121" s="161"/>
    </row>
    <row r="122" spans="1:8" ht="28.5" x14ac:dyDescent="0.25">
      <c r="A122" s="159"/>
      <c r="B122" s="160"/>
      <c r="C122" s="159" t="s">
        <v>1968</v>
      </c>
      <c r="D122" s="159" t="s">
        <v>4685</v>
      </c>
      <c r="E122" s="161" t="s">
        <v>89</v>
      </c>
      <c r="F122" s="161" t="s">
        <v>4769</v>
      </c>
      <c r="G122" s="161" t="s">
        <v>1896</v>
      </c>
      <c r="H122" s="161"/>
    </row>
    <row r="123" spans="1:8" ht="28.5" x14ac:dyDescent="0.25">
      <c r="A123" s="159"/>
      <c r="B123" s="160"/>
      <c r="C123" s="159" t="s">
        <v>1969</v>
      </c>
      <c r="D123" s="159" t="s">
        <v>4686</v>
      </c>
      <c r="E123" s="161" t="s">
        <v>89</v>
      </c>
      <c r="F123" s="161" t="s">
        <v>4769</v>
      </c>
      <c r="G123" s="161" t="s">
        <v>1896</v>
      </c>
      <c r="H123" s="161"/>
    </row>
    <row r="124" spans="1:8" ht="85.5" x14ac:dyDescent="0.25">
      <c r="A124" s="159"/>
      <c r="B124" s="160"/>
      <c r="C124" s="159" t="s">
        <v>1970</v>
      </c>
      <c r="D124" s="159" t="s">
        <v>4687</v>
      </c>
      <c r="E124" s="161" t="s">
        <v>2040</v>
      </c>
      <c r="F124" s="161" t="s">
        <v>4778</v>
      </c>
      <c r="G124" s="159" t="s">
        <v>2028</v>
      </c>
      <c r="H124" s="161"/>
    </row>
    <row r="125" spans="1:8" ht="85.5" x14ac:dyDescent="0.25">
      <c r="A125" s="159"/>
      <c r="B125" s="160"/>
      <c r="C125" s="159" t="s">
        <v>1887</v>
      </c>
      <c r="D125" s="159" t="s">
        <v>4688</v>
      </c>
      <c r="E125" s="161" t="s">
        <v>2040</v>
      </c>
      <c r="F125" s="161" t="s">
        <v>4778</v>
      </c>
      <c r="G125" s="159" t="s">
        <v>2028</v>
      </c>
      <c r="H125" s="161"/>
    </row>
    <row r="126" spans="1:8" ht="28.5" x14ac:dyDescent="0.25">
      <c r="A126" s="159"/>
      <c r="B126" s="160"/>
      <c r="C126" s="159" t="s">
        <v>1890</v>
      </c>
      <c r="D126" s="159" t="s">
        <v>2007</v>
      </c>
      <c r="E126" s="161" t="s">
        <v>2030</v>
      </c>
      <c r="F126" s="161" t="s">
        <v>4771</v>
      </c>
      <c r="G126" s="161" t="s">
        <v>1894</v>
      </c>
      <c r="H126" s="161"/>
    </row>
    <row r="127" spans="1:8" x14ac:dyDescent="0.25">
      <c r="A127" s="159"/>
      <c r="B127" s="160"/>
      <c r="C127" s="159" t="s">
        <v>1971</v>
      </c>
      <c r="D127" s="159" t="s">
        <v>2008</v>
      </c>
      <c r="E127" s="163" t="s">
        <v>1908</v>
      </c>
      <c r="F127" s="159" t="s">
        <v>4749</v>
      </c>
      <c r="G127" s="161" t="s">
        <v>1896</v>
      </c>
      <c r="H127" s="161"/>
    </row>
    <row r="128" spans="1:8" x14ac:dyDescent="0.25">
      <c r="A128" s="159"/>
      <c r="B128" s="160"/>
      <c r="C128" s="159" t="s">
        <v>1972</v>
      </c>
      <c r="D128" s="159" t="s">
        <v>2009</v>
      </c>
      <c r="E128" s="163" t="s">
        <v>1909</v>
      </c>
      <c r="F128" s="159" t="s">
        <v>4748</v>
      </c>
      <c r="G128" s="161" t="s">
        <v>1894</v>
      </c>
      <c r="H128" s="161"/>
    </row>
    <row r="129" spans="1:8" ht="28.5" x14ac:dyDescent="0.25">
      <c r="A129" s="159"/>
      <c r="B129" s="160"/>
      <c r="C129" s="159" t="s">
        <v>1973</v>
      </c>
      <c r="D129" s="159" t="s">
        <v>2010</v>
      </c>
      <c r="E129" s="161" t="s">
        <v>2030</v>
      </c>
      <c r="F129" s="161" t="s">
        <v>4771</v>
      </c>
      <c r="G129" s="161" t="s">
        <v>1894</v>
      </c>
      <c r="H129" s="161"/>
    </row>
    <row r="130" spans="1:8" x14ac:dyDescent="0.25">
      <c r="A130" s="159"/>
      <c r="B130" s="160"/>
      <c r="C130" s="159" t="s">
        <v>1974</v>
      </c>
      <c r="D130" s="159" t="s">
        <v>2011</v>
      </c>
      <c r="E130" s="163" t="s">
        <v>1908</v>
      </c>
      <c r="F130" s="159" t="s">
        <v>4749</v>
      </c>
      <c r="G130" s="161" t="s">
        <v>1896</v>
      </c>
      <c r="H130" s="161"/>
    </row>
    <row r="131" spans="1:8" x14ac:dyDescent="0.25">
      <c r="A131" s="159"/>
      <c r="B131" s="160"/>
      <c r="C131" s="159" t="s">
        <v>1975</v>
      </c>
      <c r="D131" s="159" t="s">
        <v>2012</v>
      </c>
      <c r="E131" s="163" t="s">
        <v>1909</v>
      </c>
      <c r="F131" s="159" t="s">
        <v>4748</v>
      </c>
      <c r="G131" s="161" t="s">
        <v>1894</v>
      </c>
      <c r="H131" s="161"/>
    </row>
    <row r="132" spans="1:8" x14ac:dyDescent="0.25">
      <c r="A132" s="159"/>
      <c r="B132" s="160"/>
      <c r="C132" s="159" t="s">
        <v>1976</v>
      </c>
      <c r="D132" s="159" t="s">
        <v>2013</v>
      </c>
      <c r="E132" s="163" t="s">
        <v>1908</v>
      </c>
      <c r="F132" s="159" t="s">
        <v>4749</v>
      </c>
      <c r="G132" s="161" t="s">
        <v>1894</v>
      </c>
      <c r="H132" s="161"/>
    </row>
    <row r="133" spans="1:8" x14ac:dyDescent="0.25">
      <c r="A133" s="159"/>
      <c r="B133" s="160"/>
      <c r="C133" s="159" t="s">
        <v>1977</v>
      </c>
      <c r="D133" s="159" t="s">
        <v>2014</v>
      </c>
      <c r="E133" s="163" t="s">
        <v>1909</v>
      </c>
      <c r="F133" s="159" t="s">
        <v>4748</v>
      </c>
      <c r="G133" s="161" t="s">
        <v>1894</v>
      </c>
      <c r="H133" s="161"/>
    </row>
    <row r="134" spans="1:8" x14ac:dyDescent="0.25">
      <c r="A134" s="159"/>
      <c r="B134" s="160"/>
      <c r="C134" s="159" t="s">
        <v>1978</v>
      </c>
      <c r="D134" s="159" t="s">
        <v>2015</v>
      </c>
      <c r="E134" s="163" t="s">
        <v>2036</v>
      </c>
      <c r="F134" s="159" t="s">
        <v>4748</v>
      </c>
      <c r="G134" s="161" t="s">
        <v>4825</v>
      </c>
      <c r="H134" s="161"/>
    </row>
    <row r="135" spans="1:8" x14ac:dyDescent="0.25">
      <c r="A135" s="159"/>
      <c r="B135" s="160"/>
      <c r="C135" s="159" t="s">
        <v>1979</v>
      </c>
      <c r="D135" s="159" t="s">
        <v>2016</v>
      </c>
      <c r="E135" s="163" t="s">
        <v>2037</v>
      </c>
      <c r="F135" s="159" t="s">
        <v>4749</v>
      </c>
      <c r="G135" s="161" t="s">
        <v>4825</v>
      </c>
      <c r="H135" s="161"/>
    </row>
    <row r="136" spans="1:8" x14ac:dyDescent="0.25">
      <c r="A136" s="159"/>
      <c r="B136" s="160"/>
      <c r="C136" s="159" t="s">
        <v>1980</v>
      </c>
      <c r="D136" s="159" t="s">
        <v>2017</v>
      </c>
      <c r="E136" s="163" t="s">
        <v>2036</v>
      </c>
      <c r="F136" s="159" t="s">
        <v>4748</v>
      </c>
      <c r="G136" s="161" t="s">
        <v>4825</v>
      </c>
      <c r="H136" s="161"/>
    </row>
    <row r="137" spans="1:8" x14ac:dyDescent="0.25">
      <c r="A137" s="159"/>
      <c r="B137" s="160"/>
      <c r="C137" s="159" t="s">
        <v>1981</v>
      </c>
      <c r="D137" s="159" t="s">
        <v>2018</v>
      </c>
      <c r="E137" s="163" t="s">
        <v>2037</v>
      </c>
      <c r="F137" s="159" t="s">
        <v>4749</v>
      </c>
      <c r="G137" s="161" t="s">
        <v>4825</v>
      </c>
      <c r="H137" s="161"/>
    </row>
    <row r="138" spans="1:8" x14ac:dyDescent="0.25">
      <c r="A138" s="159"/>
      <c r="B138" s="160"/>
      <c r="C138" s="159" t="s">
        <v>1982</v>
      </c>
      <c r="D138" s="159" t="s">
        <v>2019</v>
      </c>
      <c r="E138" s="163" t="s">
        <v>2036</v>
      </c>
      <c r="F138" s="159" t="s">
        <v>4748</v>
      </c>
      <c r="G138" s="161" t="s">
        <v>4825</v>
      </c>
      <c r="H138" s="161"/>
    </row>
    <row r="139" spans="1:8" x14ac:dyDescent="0.25">
      <c r="A139" s="159"/>
      <c r="B139" s="160"/>
      <c r="C139" s="159" t="s">
        <v>1983</v>
      </c>
      <c r="D139" s="159" t="s">
        <v>2020</v>
      </c>
      <c r="E139" s="163" t="s">
        <v>2037</v>
      </c>
      <c r="F139" s="159" t="s">
        <v>4749</v>
      </c>
      <c r="G139" s="161" t="s">
        <v>4825</v>
      </c>
      <c r="H139" s="161"/>
    </row>
    <row r="140" spans="1:8" x14ac:dyDescent="0.25">
      <c r="A140" s="159"/>
      <c r="B140" s="160"/>
      <c r="C140" s="159" t="s">
        <v>1984</v>
      </c>
      <c r="D140" s="159" t="s">
        <v>2021</v>
      </c>
      <c r="E140" s="163" t="s">
        <v>2036</v>
      </c>
      <c r="F140" s="159" t="s">
        <v>4748</v>
      </c>
      <c r="G140" s="161" t="s">
        <v>4825</v>
      </c>
      <c r="H140" s="161"/>
    </row>
    <row r="141" spans="1:8" x14ac:dyDescent="0.25">
      <c r="A141" s="159"/>
      <c r="B141" s="160"/>
      <c r="C141" s="159" t="s">
        <v>1985</v>
      </c>
      <c r="D141" s="159" t="s">
        <v>2022</v>
      </c>
      <c r="E141" s="163" t="s">
        <v>2037</v>
      </c>
      <c r="F141" s="159" t="s">
        <v>4749</v>
      </c>
      <c r="G141" s="161" t="s">
        <v>4825</v>
      </c>
      <c r="H141" s="161"/>
    </row>
    <row r="142" spans="1:8" ht="28.5" x14ac:dyDescent="0.25">
      <c r="A142" s="159"/>
      <c r="B142" s="160"/>
      <c r="C142" s="159" t="s">
        <v>1986</v>
      </c>
      <c r="D142" s="159" t="s">
        <v>1220</v>
      </c>
      <c r="E142" s="161" t="s">
        <v>91</v>
      </c>
      <c r="F142" s="161" t="s">
        <v>4120</v>
      </c>
      <c r="G142" s="161" t="s">
        <v>1894</v>
      </c>
      <c r="H142" s="161"/>
    </row>
    <row r="143" spans="1:8" ht="128.25" x14ac:dyDescent="0.25">
      <c r="A143" s="159"/>
      <c r="B143" s="160"/>
      <c r="C143" s="159" t="s">
        <v>1987</v>
      </c>
      <c r="D143" s="159" t="s">
        <v>2023</v>
      </c>
      <c r="E143" s="161" t="s">
        <v>2038</v>
      </c>
      <c r="F143" s="161" t="s">
        <v>4779</v>
      </c>
      <c r="G143" s="161" t="s">
        <v>1894</v>
      </c>
      <c r="H143" s="161"/>
    </row>
    <row r="144" spans="1:8" ht="28.5" x14ac:dyDescent="0.2">
      <c r="A144" s="159"/>
      <c r="B144" s="160"/>
      <c r="C144" s="159" t="s">
        <v>1988</v>
      </c>
      <c r="D144" s="159" t="s">
        <v>2024</v>
      </c>
      <c r="E144" s="163" t="s">
        <v>1918</v>
      </c>
      <c r="F144" s="159" t="s">
        <v>2039</v>
      </c>
      <c r="G144" s="161" t="s">
        <v>1894</v>
      </c>
      <c r="H144" s="168" t="s">
        <v>1920</v>
      </c>
    </row>
    <row r="145" spans="1:8" ht="384.75" x14ac:dyDescent="0.25">
      <c r="A145" s="159"/>
      <c r="B145" s="160"/>
      <c r="C145" s="159" t="s">
        <v>1989</v>
      </c>
      <c r="D145" s="159" t="s">
        <v>2025</v>
      </c>
      <c r="E145" s="161" t="s">
        <v>129</v>
      </c>
      <c r="F145" s="161" t="s">
        <v>4089</v>
      </c>
      <c r="G145" s="161" t="s">
        <v>1894</v>
      </c>
      <c r="H145" s="161"/>
    </row>
    <row r="146" spans="1:8" ht="15" x14ac:dyDescent="0.25">
      <c r="A146" s="229" t="s">
        <v>4646</v>
      </c>
      <c r="B146" s="229"/>
      <c r="C146" s="229"/>
      <c r="D146" s="229"/>
      <c r="E146" s="229"/>
      <c r="F146" s="229"/>
      <c r="G146" s="229"/>
      <c r="H146" s="229"/>
    </row>
    <row r="147" spans="1:8" x14ac:dyDescent="0.25">
      <c r="A147" s="159"/>
      <c r="B147" s="160" t="s">
        <v>3012</v>
      </c>
      <c r="C147" s="159" t="s">
        <v>1786</v>
      </c>
      <c r="D147" s="161" t="s">
        <v>23</v>
      </c>
      <c r="E147" s="161" t="s">
        <v>24</v>
      </c>
      <c r="F147" s="161" t="s">
        <v>4117</v>
      </c>
      <c r="G147" s="161" t="s">
        <v>1894</v>
      </c>
      <c r="H147" s="161"/>
    </row>
    <row r="148" spans="1:8" x14ac:dyDescent="0.25">
      <c r="A148" s="159"/>
      <c r="B148" s="160" t="s">
        <v>3012</v>
      </c>
      <c r="C148" s="159" t="s">
        <v>70</v>
      </c>
      <c r="D148" s="161" t="s">
        <v>1787</v>
      </c>
      <c r="E148" s="159"/>
      <c r="F148" s="159"/>
      <c r="G148" s="161" t="s">
        <v>1894</v>
      </c>
      <c r="H148" s="161"/>
    </row>
    <row r="149" spans="1:8" ht="42.75" x14ac:dyDescent="0.25">
      <c r="A149" s="159"/>
      <c r="B149" s="160"/>
      <c r="C149" s="159" t="s">
        <v>101</v>
      </c>
      <c r="D149" s="161" t="s">
        <v>2096</v>
      </c>
      <c r="E149" s="161" t="s">
        <v>79</v>
      </c>
      <c r="F149" s="161" t="s">
        <v>4745</v>
      </c>
      <c r="G149" s="161" t="s">
        <v>1894</v>
      </c>
      <c r="H149" s="161"/>
    </row>
    <row r="150" spans="1:8" x14ac:dyDescent="0.25">
      <c r="A150" s="159"/>
      <c r="B150" s="160"/>
      <c r="C150" s="159" t="s">
        <v>2041</v>
      </c>
      <c r="D150" s="161" t="s">
        <v>2097</v>
      </c>
      <c r="E150" s="163" t="s">
        <v>1903</v>
      </c>
      <c r="F150" s="163" t="s">
        <v>4746</v>
      </c>
      <c r="G150" s="161" t="s">
        <v>2174</v>
      </c>
      <c r="H150" s="161"/>
    </row>
    <row r="151" spans="1:8" x14ac:dyDescent="0.25">
      <c r="A151" s="159"/>
      <c r="B151" s="160"/>
      <c r="C151" s="159" t="s">
        <v>2042</v>
      </c>
      <c r="D151" s="161" t="s">
        <v>2098</v>
      </c>
      <c r="E151" s="161" t="s">
        <v>24</v>
      </c>
      <c r="F151" s="161" t="s">
        <v>4117</v>
      </c>
      <c r="G151" s="161" t="s">
        <v>1894</v>
      </c>
      <c r="H151" s="161"/>
    </row>
    <row r="152" spans="1:8" x14ac:dyDescent="0.25">
      <c r="A152" s="159"/>
      <c r="B152" s="160" t="s">
        <v>3012</v>
      </c>
      <c r="C152" s="159" t="s">
        <v>84</v>
      </c>
      <c r="D152" s="161" t="s">
        <v>1893</v>
      </c>
      <c r="E152" s="163" t="s">
        <v>1903</v>
      </c>
      <c r="F152" s="163" t="s">
        <v>4746</v>
      </c>
      <c r="G152" s="161" t="s">
        <v>4827</v>
      </c>
      <c r="H152" s="161"/>
    </row>
    <row r="153" spans="1:8" ht="28.5" x14ac:dyDescent="0.25">
      <c r="A153" s="159"/>
      <c r="B153" s="160"/>
      <c r="C153" s="159" t="s">
        <v>1986</v>
      </c>
      <c r="D153" s="161" t="s">
        <v>1220</v>
      </c>
      <c r="E153" s="161" t="s">
        <v>91</v>
      </c>
      <c r="F153" s="161" t="s">
        <v>4120</v>
      </c>
      <c r="G153" s="161" t="s">
        <v>4828</v>
      </c>
      <c r="H153" s="161"/>
    </row>
    <row r="154" spans="1:8" ht="28.5" x14ac:dyDescent="0.25">
      <c r="A154" s="159"/>
      <c r="B154" s="160"/>
      <c r="C154" s="159" t="s">
        <v>1988</v>
      </c>
      <c r="D154" s="161" t="s">
        <v>2099</v>
      </c>
      <c r="E154" s="167" t="s">
        <v>1919</v>
      </c>
      <c r="F154" s="161" t="s">
        <v>4761</v>
      </c>
      <c r="G154" s="161" t="s">
        <v>1894</v>
      </c>
      <c r="H154" s="161"/>
    </row>
    <row r="155" spans="1:8" ht="384.75" x14ac:dyDescent="0.25">
      <c r="A155" s="159"/>
      <c r="B155" s="160"/>
      <c r="C155" s="159" t="s">
        <v>1989</v>
      </c>
      <c r="D155" s="161" t="s">
        <v>2100</v>
      </c>
      <c r="E155" s="161" t="s">
        <v>129</v>
      </c>
      <c r="F155" s="161" t="s">
        <v>4089</v>
      </c>
      <c r="G155" s="161" t="s">
        <v>1894</v>
      </c>
      <c r="H155" s="161"/>
    </row>
    <row r="156" spans="1:8" ht="28.5" x14ac:dyDescent="0.25">
      <c r="A156" s="159"/>
      <c r="B156" s="160"/>
      <c r="C156" s="159" t="s">
        <v>2043</v>
      </c>
      <c r="D156" s="161" t="s">
        <v>2101</v>
      </c>
      <c r="E156" s="161" t="s">
        <v>91</v>
      </c>
      <c r="F156" s="161" t="s">
        <v>4780</v>
      </c>
      <c r="G156" s="161" t="s">
        <v>4825</v>
      </c>
      <c r="H156" s="161"/>
    </row>
    <row r="157" spans="1:8" x14ac:dyDescent="0.25">
      <c r="A157" s="159"/>
      <c r="B157" s="160"/>
      <c r="C157" s="159" t="s">
        <v>2044</v>
      </c>
      <c r="D157" s="161" t="s">
        <v>2102</v>
      </c>
      <c r="E157" s="161" t="s">
        <v>24</v>
      </c>
      <c r="F157" s="161" t="s">
        <v>4117</v>
      </c>
      <c r="G157" s="161" t="s">
        <v>2175</v>
      </c>
      <c r="H157" s="161"/>
    </row>
    <row r="158" spans="1:8" x14ac:dyDescent="0.25">
      <c r="A158" s="159"/>
      <c r="B158" s="160"/>
      <c r="C158" s="159" t="s">
        <v>2045</v>
      </c>
      <c r="D158" s="161" t="s">
        <v>1791</v>
      </c>
      <c r="E158" s="163" t="s">
        <v>1903</v>
      </c>
      <c r="F158" s="163" t="s">
        <v>4746</v>
      </c>
      <c r="G158" s="161" t="s">
        <v>4827</v>
      </c>
      <c r="H158" s="161"/>
    </row>
    <row r="159" spans="1:8" ht="42.75" x14ac:dyDescent="0.25">
      <c r="A159" s="159"/>
      <c r="B159" s="160"/>
      <c r="C159" s="159" t="s">
        <v>2046</v>
      </c>
      <c r="D159" s="161" t="s">
        <v>1868</v>
      </c>
      <c r="E159" s="161" t="s">
        <v>1927</v>
      </c>
      <c r="F159" s="161" t="s">
        <v>4781</v>
      </c>
      <c r="G159" s="161" t="s">
        <v>4825</v>
      </c>
      <c r="H159" s="161"/>
    </row>
    <row r="160" spans="1:8" ht="28.5" x14ac:dyDescent="0.25">
      <c r="A160" s="159"/>
      <c r="B160" s="160"/>
      <c r="C160" s="159" t="s">
        <v>2047</v>
      </c>
      <c r="D160" s="161" t="s">
        <v>4689</v>
      </c>
      <c r="E160" s="161" t="s">
        <v>2165</v>
      </c>
      <c r="F160" s="161" t="s">
        <v>4782</v>
      </c>
      <c r="G160" s="161" t="s">
        <v>1894</v>
      </c>
      <c r="H160" s="161"/>
    </row>
    <row r="161" spans="1:8" ht="28.5" x14ac:dyDescent="0.25">
      <c r="A161" s="159"/>
      <c r="B161" s="160"/>
      <c r="C161" s="159" t="s">
        <v>2048</v>
      </c>
      <c r="D161" s="161" t="s">
        <v>2103</v>
      </c>
      <c r="E161" s="161" t="s">
        <v>2165</v>
      </c>
      <c r="F161" s="161" t="s">
        <v>4782</v>
      </c>
      <c r="G161" s="161" t="s">
        <v>4827</v>
      </c>
      <c r="H161" s="161"/>
    </row>
    <row r="162" spans="1:8" ht="42.75" x14ac:dyDescent="0.25">
      <c r="A162" s="159"/>
      <c r="B162" s="160"/>
      <c r="C162" s="159" t="s">
        <v>2049</v>
      </c>
      <c r="D162" s="161" t="s">
        <v>2104</v>
      </c>
      <c r="E162" s="161" t="s">
        <v>2166</v>
      </c>
      <c r="F162" s="161" t="s">
        <v>4783</v>
      </c>
      <c r="G162" s="161" t="s">
        <v>1894</v>
      </c>
      <c r="H162" s="161"/>
    </row>
    <row r="163" spans="1:8" ht="42.75" x14ac:dyDescent="0.25">
      <c r="A163" s="159"/>
      <c r="B163" s="160"/>
      <c r="C163" s="159" t="s">
        <v>2050</v>
      </c>
      <c r="D163" s="161" t="s">
        <v>2105</v>
      </c>
      <c r="E163" s="161" t="s">
        <v>2166</v>
      </c>
      <c r="F163" s="161" t="s">
        <v>4783</v>
      </c>
      <c r="G163" s="161" t="s">
        <v>4827</v>
      </c>
      <c r="H163" s="161"/>
    </row>
    <row r="164" spans="1:8" x14ac:dyDescent="0.25">
      <c r="A164" s="159"/>
      <c r="B164" s="160"/>
      <c r="C164" s="159" t="s">
        <v>1792</v>
      </c>
      <c r="D164" s="161" t="s">
        <v>4659</v>
      </c>
      <c r="E164" s="161" t="s">
        <v>24</v>
      </c>
      <c r="F164" s="161" t="s">
        <v>4117</v>
      </c>
      <c r="G164" s="161" t="s">
        <v>2175</v>
      </c>
      <c r="H164" s="161"/>
    </row>
    <row r="165" spans="1:8" x14ac:dyDescent="0.25">
      <c r="A165" s="159"/>
      <c r="B165" s="160"/>
      <c r="C165" s="159" t="s">
        <v>1931</v>
      </c>
      <c r="D165" s="161" t="s">
        <v>1991</v>
      </c>
      <c r="E165" s="163" t="s">
        <v>1903</v>
      </c>
      <c r="F165" s="163" t="s">
        <v>4746</v>
      </c>
      <c r="G165" s="161" t="s">
        <v>4827</v>
      </c>
      <c r="H165" s="161"/>
    </row>
    <row r="166" spans="1:8" ht="42.75" x14ac:dyDescent="0.25">
      <c r="A166" s="159"/>
      <c r="B166" s="160"/>
      <c r="C166" s="159" t="s">
        <v>1964</v>
      </c>
      <c r="D166" s="161" t="s">
        <v>4690</v>
      </c>
      <c r="E166" s="161" t="s">
        <v>1927</v>
      </c>
      <c r="F166" s="161" t="s">
        <v>4781</v>
      </c>
      <c r="G166" s="161" t="s">
        <v>4825</v>
      </c>
      <c r="H166" s="161"/>
    </row>
    <row r="167" spans="1:8" ht="28.5" x14ac:dyDescent="0.25">
      <c r="A167" s="159"/>
      <c r="B167" s="160"/>
      <c r="C167" s="159" t="s">
        <v>1890</v>
      </c>
      <c r="D167" s="161" t="s">
        <v>2106</v>
      </c>
      <c r="E167" s="161" t="s">
        <v>2030</v>
      </c>
      <c r="F167" s="161" t="s">
        <v>4771</v>
      </c>
      <c r="G167" s="161" t="s">
        <v>1894</v>
      </c>
      <c r="H167" s="161"/>
    </row>
    <row r="168" spans="1:8" ht="28.5" x14ac:dyDescent="0.25">
      <c r="A168" s="159"/>
      <c r="B168" s="160"/>
      <c r="C168" s="159" t="s">
        <v>1804</v>
      </c>
      <c r="D168" s="161" t="s">
        <v>2107</v>
      </c>
      <c r="E168" s="161" t="s">
        <v>2030</v>
      </c>
      <c r="F168" s="161" t="s">
        <v>4771</v>
      </c>
      <c r="G168" s="161" t="s">
        <v>4827</v>
      </c>
      <c r="H168" s="161"/>
    </row>
    <row r="169" spans="1:8" ht="99.75" x14ac:dyDescent="0.25">
      <c r="A169" s="159"/>
      <c r="B169" s="160"/>
      <c r="C169" s="159" t="s">
        <v>1952</v>
      </c>
      <c r="D169" s="161" t="s">
        <v>2108</v>
      </c>
      <c r="E169" s="161" t="s">
        <v>1916</v>
      </c>
      <c r="F169" s="161" t="s">
        <v>4759</v>
      </c>
      <c r="G169" s="161" t="s">
        <v>4825</v>
      </c>
      <c r="H169" s="161"/>
    </row>
    <row r="170" spans="1:8" x14ac:dyDescent="0.25">
      <c r="A170" s="159"/>
      <c r="B170" s="160"/>
      <c r="C170" s="159" t="s">
        <v>2051</v>
      </c>
      <c r="D170" s="161" t="s">
        <v>2109</v>
      </c>
      <c r="E170" s="164" t="s">
        <v>1910</v>
      </c>
      <c r="F170" s="161" t="s">
        <v>4751</v>
      </c>
      <c r="G170" s="161" t="s">
        <v>4827</v>
      </c>
      <c r="H170" s="161"/>
    </row>
    <row r="171" spans="1:8" x14ac:dyDescent="0.25">
      <c r="A171" s="159"/>
      <c r="B171" s="160"/>
      <c r="C171" s="159" t="s">
        <v>2052</v>
      </c>
      <c r="D171" s="161" t="s">
        <v>2110</v>
      </c>
      <c r="E171" s="164" t="s">
        <v>1910</v>
      </c>
      <c r="F171" s="161" t="s">
        <v>4751</v>
      </c>
      <c r="G171" s="161" t="s">
        <v>4827</v>
      </c>
      <c r="H171" s="161"/>
    </row>
    <row r="172" spans="1:8" x14ac:dyDescent="0.25">
      <c r="A172" s="159"/>
      <c r="B172" s="160"/>
      <c r="C172" s="159" t="s">
        <v>2053</v>
      </c>
      <c r="D172" s="161" t="s">
        <v>2111</v>
      </c>
      <c r="E172" s="161" t="s">
        <v>1924</v>
      </c>
      <c r="F172" s="161" t="s">
        <v>4765</v>
      </c>
      <c r="G172" s="161" t="s">
        <v>2027</v>
      </c>
      <c r="H172" s="161"/>
    </row>
    <row r="173" spans="1:8" ht="85.5" x14ac:dyDescent="0.25">
      <c r="A173" s="159"/>
      <c r="B173" s="160"/>
      <c r="C173" s="159" t="s">
        <v>2054</v>
      </c>
      <c r="D173" s="161" t="s">
        <v>2112</v>
      </c>
      <c r="E173" s="161" t="s">
        <v>1913</v>
      </c>
      <c r="F173" s="161" t="s">
        <v>4776</v>
      </c>
      <c r="G173" s="161" t="s">
        <v>2027</v>
      </c>
      <c r="H173" s="161"/>
    </row>
    <row r="174" spans="1:8" x14ac:dyDescent="0.25">
      <c r="A174" s="159"/>
      <c r="B174" s="160"/>
      <c r="C174" s="159" t="s">
        <v>1845</v>
      </c>
      <c r="D174" s="161" t="s">
        <v>2113</v>
      </c>
      <c r="E174" s="164" t="s">
        <v>1910</v>
      </c>
      <c r="F174" s="161" t="s">
        <v>4751</v>
      </c>
      <c r="G174" s="161" t="s">
        <v>4829</v>
      </c>
      <c r="H174" s="161"/>
    </row>
    <row r="175" spans="1:8" x14ac:dyDescent="0.25">
      <c r="A175" s="159"/>
      <c r="B175" s="160"/>
      <c r="C175" s="159" t="s">
        <v>1934</v>
      </c>
      <c r="D175" s="159" t="s">
        <v>4662</v>
      </c>
      <c r="E175" s="161" t="s">
        <v>24</v>
      </c>
      <c r="F175" s="161" t="s">
        <v>4117</v>
      </c>
      <c r="G175" s="161" t="s">
        <v>2178</v>
      </c>
      <c r="H175" s="161"/>
    </row>
    <row r="176" spans="1:8" x14ac:dyDescent="0.25">
      <c r="A176" s="159"/>
      <c r="B176" s="160"/>
      <c r="C176" s="159" t="s">
        <v>1935</v>
      </c>
      <c r="D176" s="159" t="s">
        <v>1992</v>
      </c>
      <c r="E176" s="163" t="s">
        <v>1903</v>
      </c>
      <c r="F176" s="163" t="s">
        <v>4746</v>
      </c>
      <c r="G176" s="161" t="s">
        <v>4827</v>
      </c>
      <c r="H176" s="161"/>
    </row>
    <row r="177" spans="1:8" ht="42.75" x14ac:dyDescent="0.25">
      <c r="A177" s="159"/>
      <c r="B177" s="160"/>
      <c r="C177" s="159" t="s">
        <v>1966</v>
      </c>
      <c r="D177" s="161" t="s">
        <v>4691</v>
      </c>
      <c r="E177" s="161" t="s">
        <v>1927</v>
      </c>
      <c r="F177" s="161" t="s">
        <v>4781</v>
      </c>
      <c r="G177" s="161"/>
      <c r="H177" s="161"/>
    </row>
    <row r="178" spans="1:8" ht="28.5" x14ac:dyDescent="0.25">
      <c r="A178" s="159"/>
      <c r="B178" s="160"/>
      <c r="C178" s="159" t="s">
        <v>1973</v>
      </c>
      <c r="D178" s="161" t="s">
        <v>2114</v>
      </c>
      <c r="E178" s="161" t="s">
        <v>2030</v>
      </c>
      <c r="F178" s="161" t="s">
        <v>4771</v>
      </c>
      <c r="G178" s="161" t="s">
        <v>1894</v>
      </c>
      <c r="H178" s="161"/>
    </row>
    <row r="179" spans="1:8" ht="28.5" x14ac:dyDescent="0.25">
      <c r="A179" s="159"/>
      <c r="B179" s="160"/>
      <c r="C179" s="159" t="s">
        <v>1939</v>
      </c>
      <c r="D179" s="161" t="s">
        <v>2115</v>
      </c>
      <c r="E179" s="161" t="s">
        <v>2030</v>
      </c>
      <c r="F179" s="161" t="s">
        <v>4771</v>
      </c>
      <c r="G179" s="161" t="s">
        <v>4827</v>
      </c>
      <c r="H179" s="161"/>
    </row>
    <row r="180" spans="1:8" ht="99.75" x14ac:dyDescent="0.25">
      <c r="A180" s="159"/>
      <c r="B180" s="160"/>
      <c r="C180" s="159" t="s">
        <v>1957</v>
      </c>
      <c r="D180" s="161" t="s">
        <v>2116</v>
      </c>
      <c r="E180" s="161" t="s">
        <v>1916</v>
      </c>
      <c r="F180" s="161" t="s">
        <v>4759</v>
      </c>
      <c r="G180" s="161" t="s">
        <v>4825</v>
      </c>
      <c r="H180" s="161"/>
    </row>
    <row r="181" spans="1:8" x14ac:dyDescent="0.25">
      <c r="A181" s="159"/>
      <c r="B181" s="160"/>
      <c r="C181" s="159" t="s">
        <v>2055</v>
      </c>
      <c r="D181" s="161" t="s">
        <v>2117</v>
      </c>
      <c r="E181" s="164" t="s">
        <v>1910</v>
      </c>
      <c r="F181" s="161" t="s">
        <v>4751</v>
      </c>
      <c r="G181" s="161" t="s">
        <v>4827</v>
      </c>
      <c r="H181" s="161"/>
    </row>
    <row r="182" spans="1:8" x14ac:dyDescent="0.25">
      <c r="A182" s="159"/>
      <c r="B182" s="160"/>
      <c r="C182" s="159" t="s">
        <v>2056</v>
      </c>
      <c r="D182" s="161" t="s">
        <v>2118</v>
      </c>
      <c r="E182" s="164" t="s">
        <v>1910</v>
      </c>
      <c r="F182" s="161" t="s">
        <v>4751</v>
      </c>
      <c r="G182" s="161" t="s">
        <v>4827</v>
      </c>
      <c r="H182" s="161"/>
    </row>
    <row r="183" spans="1:8" x14ac:dyDescent="0.25">
      <c r="A183" s="159"/>
      <c r="B183" s="160"/>
      <c r="C183" s="159" t="s">
        <v>2057</v>
      </c>
      <c r="D183" s="161" t="s">
        <v>2119</v>
      </c>
      <c r="E183" s="161" t="s">
        <v>1924</v>
      </c>
      <c r="F183" s="161" t="s">
        <v>4765</v>
      </c>
      <c r="G183" s="161" t="s">
        <v>2027</v>
      </c>
      <c r="H183" s="161"/>
    </row>
    <row r="184" spans="1:8" ht="85.5" x14ac:dyDescent="0.25">
      <c r="A184" s="159"/>
      <c r="B184" s="160"/>
      <c r="C184" s="159" t="s">
        <v>2058</v>
      </c>
      <c r="D184" s="161" t="s">
        <v>2120</v>
      </c>
      <c r="E184" s="161" t="s">
        <v>1913</v>
      </c>
      <c r="F184" s="161" t="s">
        <v>4776</v>
      </c>
      <c r="G184" s="161" t="s">
        <v>2027</v>
      </c>
      <c r="H184" s="161"/>
    </row>
    <row r="185" spans="1:8" x14ac:dyDescent="0.25">
      <c r="A185" s="159"/>
      <c r="B185" s="160"/>
      <c r="C185" s="159" t="s">
        <v>2059</v>
      </c>
      <c r="D185" s="161" t="s">
        <v>2121</v>
      </c>
      <c r="E185" s="164" t="s">
        <v>1910</v>
      </c>
      <c r="F185" s="161" t="s">
        <v>4751</v>
      </c>
      <c r="G185" s="161" t="s">
        <v>4829</v>
      </c>
      <c r="H185" s="161"/>
    </row>
    <row r="186" spans="1:8" ht="156.75" x14ac:dyDescent="0.25">
      <c r="A186" s="159"/>
      <c r="B186" s="160"/>
      <c r="C186" s="159" t="s">
        <v>2060</v>
      </c>
      <c r="D186" s="161" t="s">
        <v>2122</v>
      </c>
      <c r="E186" s="161" t="s">
        <v>2167</v>
      </c>
      <c r="F186" s="161" t="s">
        <v>4784</v>
      </c>
      <c r="G186" s="161" t="s">
        <v>2179</v>
      </c>
      <c r="H186" s="161"/>
    </row>
    <row r="187" spans="1:8" ht="42.75" x14ac:dyDescent="0.25">
      <c r="A187" s="159"/>
      <c r="B187" s="160"/>
      <c r="C187" s="159" t="s">
        <v>2061</v>
      </c>
      <c r="D187" s="161" t="s">
        <v>2123</v>
      </c>
      <c r="E187" s="161" t="s">
        <v>36</v>
      </c>
      <c r="F187" s="161" t="s">
        <v>4785</v>
      </c>
      <c r="G187" s="161" t="s">
        <v>2174</v>
      </c>
      <c r="H187" s="161"/>
    </row>
    <row r="188" spans="1:8" ht="28.5" x14ac:dyDescent="0.25">
      <c r="A188" s="159"/>
      <c r="B188" s="160"/>
      <c r="C188" s="159" t="s">
        <v>2062</v>
      </c>
      <c r="D188" s="161" t="s">
        <v>2124</v>
      </c>
      <c r="E188" s="161" t="s">
        <v>91</v>
      </c>
      <c r="F188" s="161" t="s">
        <v>4127</v>
      </c>
      <c r="G188" s="161" t="s">
        <v>1894</v>
      </c>
      <c r="H188" s="161"/>
    </row>
    <row r="189" spans="1:8" ht="28.5" x14ac:dyDescent="0.25">
      <c r="A189" s="159"/>
      <c r="B189" s="160"/>
      <c r="C189" s="159" t="s">
        <v>2063</v>
      </c>
      <c r="D189" s="161" t="s">
        <v>2125</v>
      </c>
      <c r="E189" s="161" t="s">
        <v>2165</v>
      </c>
      <c r="F189" s="161" t="s">
        <v>4782</v>
      </c>
      <c r="G189" s="161" t="s">
        <v>2175</v>
      </c>
      <c r="H189" s="161"/>
    </row>
    <row r="190" spans="1:8" ht="57" x14ac:dyDescent="0.25">
      <c r="A190" s="159"/>
      <c r="B190" s="160"/>
      <c r="C190" s="159" t="s">
        <v>2064</v>
      </c>
      <c r="D190" s="161" t="s">
        <v>2126</v>
      </c>
      <c r="E190" s="161" t="s">
        <v>2168</v>
      </c>
      <c r="F190" s="161" t="s">
        <v>4786</v>
      </c>
      <c r="G190" s="161" t="s">
        <v>2179</v>
      </c>
      <c r="H190" s="161"/>
    </row>
    <row r="191" spans="1:8" ht="42.75" x14ac:dyDescent="0.25">
      <c r="A191" s="159"/>
      <c r="B191" s="160"/>
      <c r="C191" s="159" t="s">
        <v>2065</v>
      </c>
      <c r="D191" s="161" t="s">
        <v>2127</v>
      </c>
      <c r="E191" s="161" t="s">
        <v>2169</v>
      </c>
      <c r="F191" s="161" t="s">
        <v>4787</v>
      </c>
      <c r="G191" s="161" t="s">
        <v>4825</v>
      </c>
      <c r="H191" s="161"/>
    </row>
    <row r="192" spans="1:8" x14ac:dyDescent="0.25">
      <c r="A192" s="159"/>
      <c r="B192" s="160"/>
      <c r="C192" s="159" t="s">
        <v>2066</v>
      </c>
      <c r="D192" s="161" t="s">
        <v>2128</v>
      </c>
      <c r="E192" s="161" t="s">
        <v>24</v>
      </c>
      <c r="F192" s="161" t="s">
        <v>4117</v>
      </c>
      <c r="G192" s="161" t="s">
        <v>2180</v>
      </c>
      <c r="H192" s="161"/>
    </row>
    <row r="193" spans="1:8" x14ac:dyDescent="0.25">
      <c r="A193" s="159"/>
      <c r="B193" s="160"/>
      <c r="C193" s="159" t="s">
        <v>1941</v>
      </c>
      <c r="D193" s="161" t="s">
        <v>2129</v>
      </c>
      <c r="E193" s="163" t="s">
        <v>1903</v>
      </c>
      <c r="F193" s="163" t="s">
        <v>4746</v>
      </c>
      <c r="G193" s="161" t="s">
        <v>4825</v>
      </c>
      <c r="H193" s="161"/>
    </row>
    <row r="194" spans="1:8" ht="28.5" x14ac:dyDescent="0.25">
      <c r="A194" s="159"/>
      <c r="B194" s="160"/>
      <c r="C194" s="159" t="s">
        <v>2067</v>
      </c>
      <c r="D194" s="161" t="s">
        <v>2130</v>
      </c>
      <c r="E194" s="161" t="s">
        <v>2170</v>
      </c>
      <c r="F194" s="161" t="s">
        <v>4782</v>
      </c>
      <c r="G194" s="161" t="s">
        <v>4827</v>
      </c>
      <c r="H194" s="161"/>
    </row>
    <row r="195" spans="1:8" ht="28.5" x14ac:dyDescent="0.25">
      <c r="A195" s="159"/>
      <c r="B195" s="160"/>
      <c r="C195" s="159" t="s">
        <v>1978</v>
      </c>
      <c r="D195" s="161" t="s">
        <v>2131</v>
      </c>
      <c r="E195" s="161" t="s">
        <v>2170</v>
      </c>
      <c r="F195" s="161" t="s">
        <v>4782</v>
      </c>
      <c r="G195" s="161" t="s">
        <v>4825</v>
      </c>
      <c r="H195" s="161"/>
    </row>
    <row r="196" spans="1:8" x14ac:dyDescent="0.25">
      <c r="A196" s="159"/>
      <c r="B196" s="160"/>
      <c r="C196" s="159" t="s">
        <v>1979</v>
      </c>
      <c r="D196" s="161" t="s">
        <v>2132</v>
      </c>
      <c r="E196" s="159" t="s">
        <v>2171</v>
      </c>
      <c r="F196" s="159" t="s">
        <v>4749</v>
      </c>
      <c r="G196" s="161" t="s">
        <v>4825</v>
      </c>
      <c r="H196" s="161"/>
    </row>
    <row r="197" spans="1:8" ht="85.5" x14ac:dyDescent="0.25">
      <c r="A197" s="159"/>
      <c r="B197" s="160"/>
      <c r="C197" s="159" t="s">
        <v>2068</v>
      </c>
      <c r="D197" s="161" t="s">
        <v>2133</v>
      </c>
      <c r="E197" s="161" t="s">
        <v>22</v>
      </c>
      <c r="F197" s="161" t="s">
        <v>4788</v>
      </c>
      <c r="G197" s="161" t="s">
        <v>2174</v>
      </c>
      <c r="H197" s="161"/>
    </row>
    <row r="198" spans="1:8" ht="42.75" x14ac:dyDescent="0.25">
      <c r="A198" s="159"/>
      <c r="B198" s="160"/>
      <c r="C198" s="159" t="s">
        <v>2069</v>
      </c>
      <c r="D198" s="161" t="s">
        <v>2134</v>
      </c>
      <c r="E198" s="161" t="s">
        <v>2169</v>
      </c>
      <c r="F198" s="161" t="s">
        <v>4787</v>
      </c>
      <c r="G198" s="161" t="s">
        <v>4825</v>
      </c>
      <c r="H198" s="161"/>
    </row>
    <row r="199" spans="1:8" x14ac:dyDescent="0.25">
      <c r="A199" s="159"/>
      <c r="B199" s="160"/>
      <c r="C199" s="159" t="s">
        <v>2070</v>
      </c>
      <c r="D199" s="161" t="s">
        <v>2135</v>
      </c>
      <c r="E199" s="161" t="s">
        <v>24</v>
      </c>
      <c r="F199" s="161" t="s">
        <v>4117</v>
      </c>
      <c r="G199" s="161" t="s">
        <v>2180</v>
      </c>
      <c r="H199" s="161"/>
    </row>
    <row r="200" spans="1:8" x14ac:dyDescent="0.25">
      <c r="A200" s="159"/>
      <c r="B200" s="160"/>
      <c r="C200" s="159" t="s">
        <v>1942</v>
      </c>
      <c r="D200" s="161" t="s">
        <v>2135</v>
      </c>
      <c r="E200" s="163" t="s">
        <v>1903</v>
      </c>
      <c r="F200" s="163" t="s">
        <v>4746</v>
      </c>
      <c r="G200" s="161" t="s">
        <v>4825</v>
      </c>
      <c r="H200" s="161"/>
    </row>
    <row r="201" spans="1:8" ht="28.5" x14ac:dyDescent="0.25">
      <c r="A201" s="159"/>
      <c r="B201" s="160"/>
      <c r="C201" s="159" t="s">
        <v>2071</v>
      </c>
      <c r="D201" s="161" t="s">
        <v>2136</v>
      </c>
      <c r="E201" s="161" t="s">
        <v>2170</v>
      </c>
      <c r="F201" s="161" t="s">
        <v>4782</v>
      </c>
      <c r="G201" s="161" t="s">
        <v>4827</v>
      </c>
      <c r="H201" s="161"/>
    </row>
    <row r="202" spans="1:8" ht="28.5" x14ac:dyDescent="0.25">
      <c r="A202" s="159"/>
      <c r="B202" s="160"/>
      <c r="C202" s="159" t="s">
        <v>1980</v>
      </c>
      <c r="D202" s="161" t="s">
        <v>2137</v>
      </c>
      <c r="E202" s="161" t="s">
        <v>2170</v>
      </c>
      <c r="F202" s="161" t="s">
        <v>4782</v>
      </c>
      <c r="G202" s="161" t="s">
        <v>4825</v>
      </c>
      <c r="H202" s="161"/>
    </row>
    <row r="203" spans="1:8" x14ac:dyDescent="0.25">
      <c r="A203" s="159"/>
      <c r="B203" s="160"/>
      <c r="C203" s="159" t="s">
        <v>1981</v>
      </c>
      <c r="D203" s="161" t="s">
        <v>2138</v>
      </c>
      <c r="E203" s="159" t="s">
        <v>2171</v>
      </c>
      <c r="F203" s="159" t="s">
        <v>4748</v>
      </c>
      <c r="G203" s="161" t="s">
        <v>4825</v>
      </c>
      <c r="H203" s="161"/>
    </row>
    <row r="204" spans="1:8" ht="85.5" x14ac:dyDescent="0.25">
      <c r="A204" s="159"/>
      <c r="B204" s="160"/>
      <c r="C204" s="159" t="s">
        <v>2072</v>
      </c>
      <c r="D204" s="161" t="s">
        <v>2139</v>
      </c>
      <c r="E204" s="161" t="s">
        <v>22</v>
      </c>
      <c r="F204" s="161" t="s">
        <v>4788</v>
      </c>
      <c r="G204" s="161" t="s">
        <v>2174</v>
      </c>
      <c r="H204" s="161"/>
    </row>
    <row r="205" spans="1:8" ht="42.75" x14ac:dyDescent="0.25">
      <c r="A205" s="159"/>
      <c r="B205" s="160"/>
      <c r="C205" s="159" t="s">
        <v>2073</v>
      </c>
      <c r="D205" s="161" t="s">
        <v>2140</v>
      </c>
      <c r="E205" s="161" t="s">
        <v>2169</v>
      </c>
      <c r="F205" s="161" t="s">
        <v>4787</v>
      </c>
      <c r="G205" s="161" t="s">
        <v>4825</v>
      </c>
      <c r="H205" s="161"/>
    </row>
    <row r="206" spans="1:8" x14ac:dyDescent="0.25">
      <c r="A206" s="159"/>
      <c r="B206" s="160"/>
      <c r="C206" s="159" t="s">
        <v>2074</v>
      </c>
      <c r="D206" s="161" t="s">
        <v>2141</v>
      </c>
      <c r="E206" s="161" t="s">
        <v>24</v>
      </c>
      <c r="F206" s="161" t="s">
        <v>4117</v>
      </c>
      <c r="G206" s="161" t="s">
        <v>2180</v>
      </c>
      <c r="H206" s="161"/>
    </row>
    <row r="207" spans="1:8" x14ac:dyDescent="0.25">
      <c r="A207" s="159"/>
      <c r="B207" s="160"/>
      <c r="C207" s="159" t="s">
        <v>1943</v>
      </c>
      <c r="D207" s="161" t="s">
        <v>2141</v>
      </c>
      <c r="E207" s="163" t="s">
        <v>1903</v>
      </c>
      <c r="F207" s="163" t="s">
        <v>4746</v>
      </c>
      <c r="G207" s="161" t="s">
        <v>4825</v>
      </c>
      <c r="H207" s="161"/>
    </row>
    <row r="208" spans="1:8" ht="28.5" x14ac:dyDescent="0.25">
      <c r="A208" s="159"/>
      <c r="B208" s="160"/>
      <c r="C208" s="159" t="s">
        <v>2075</v>
      </c>
      <c r="D208" s="161" t="s">
        <v>2142</v>
      </c>
      <c r="E208" s="161" t="s">
        <v>2170</v>
      </c>
      <c r="F208" s="161" t="s">
        <v>4782</v>
      </c>
      <c r="G208" s="161" t="s">
        <v>4827</v>
      </c>
      <c r="H208" s="161"/>
    </row>
    <row r="209" spans="1:8" ht="28.5" x14ac:dyDescent="0.25">
      <c r="A209" s="159"/>
      <c r="B209" s="160"/>
      <c r="C209" s="159" t="s">
        <v>1982</v>
      </c>
      <c r="D209" s="161" t="s">
        <v>2143</v>
      </c>
      <c r="E209" s="161" t="s">
        <v>2170</v>
      </c>
      <c r="F209" s="161" t="s">
        <v>4782</v>
      </c>
      <c r="G209" s="161" t="s">
        <v>4825</v>
      </c>
      <c r="H209" s="161"/>
    </row>
    <row r="210" spans="1:8" x14ac:dyDescent="0.25">
      <c r="A210" s="159"/>
      <c r="B210" s="160"/>
      <c r="C210" s="159" t="s">
        <v>1983</v>
      </c>
      <c r="D210" s="161" t="s">
        <v>2144</v>
      </c>
      <c r="E210" s="159" t="s">
        <v>2171</v>
      </c>
      <c r="F210" s="159" t="s">
        <v>4748</v>
      </c>
      <c r="G210" s="161" t="s">
        <v>4825</v>
      </c>
      <c r="H210" s="161"/>
    </row>
    <row r="211" spans="1:8" ht="85.5" x14ac:dyDescent="0.25">
      <c r="A211" s="159"/>
      <c r="B211" s="160"/>
      <c r="C211" s="159" t="s">
        <v>2076</v>
      </c>
      <c r="D211" s="161" t="s">
        <v>2145</v>
      </c>
      <c r="E211" s="161" t="s">
        <v>22</v>
      </c>
      <c r="F211" s="161" t="s">
        <v>4788</v>
      </c>
      <c r="G211" s="161" t="s">
        <v>2174</v>
      </c>
      <c r="H211" s="161"/>
    </row>
    <row r="212" spans="1:8" ht="42.75" x14ac:dyDescent="0.25">
      <c r="A212" s="159"/>
      <c r="B212" s="160"/>
      <c r="C212" s="159" t="s">
        <v>2077</v>
      </c>
      <c r="D212" s="161" t="s">
        <v>2146</v>
      </c>
      <c r="E212" s="161" t="s">
        <v>2169</v>
      </c>
      <c r="F212" s="161" t="s">
        <v>4787</v>
      </c>
      <c r="G212" s="161" t="s">
        <v>4825</v>
      </c>
      <c r="H212" s="161"/>
    </row>
    <row r="213" spans="1:8" x14ac:dyDescent="0.25">
      <c r="A213" s="159"/>
      <c r="B213" s="160"/>
      <c r="C213" s="159" t="s">
        <v>2078</v>
      </c>
      <c r="D213" s="161" t="s">
        <v>2147</v>
      </c>
      <c r="E213" s="161" t="s">
        <v>24</v>
      </c>
      <c r="F213" s="161" t="s">
        <v>4117</v>
      </c>
      <c r="G213" s="161" t="s">
        <v>2180</v>
      </c>
      <c r="H213" s="161"/>
    </row>
    <row r="214" spans="1:8" x14ac:dyDescent="0.25">
      <c r="A214" s="159"/>
      <c r="B214" s="160"/>
      <c r="C214" s="159" t="s">
        <v>1944</v>
      </c>
      <c r="D214" s="161" t="s">
        <v>2147</v>
      </c>
      <c r="E214" s="163" t="s">
        <v>1903</v>
      </c>
      <c r="F214" s="163" t="s">
        <v>4746</v>
      </c>
      <c r="G214" s="161" t="s">
        <v>4825</v>
      </c>
      <c r="H214" s="161"/>
    </row>
    <row r="215" spans="1:8" ht="28.5" x14ac:dyDescent="0.25">
      <c r="A215" s="159"/>
      <c r="B215" s="160"/>
      <c r="C215" s="159" t="s">
        <v>2079</v>
      </c>
      <c r="D215" s="161" t="s">
        <v>2148</v>
      </c>
      <c r="E215" s="161" t="s">
        <v>2170</v>
      </c>
      <c r="F215" s="161" t="s">
        <v>4782</v>
      </c>
      <c r="G215" s="161" t="s">
        <v>4827</v>
      </c>
      <c r="H215" s="161"/>
    </row>
    <row r="216" spans="1:8" ht="28.5" x14ac:dyDescent="0.25">
      <c r="A216" s="159"/>
      <c r="B216" s="160"/>
      <c r="C216" s="159" t="s">
        <v>1984</v>
      </c>
      <c r="D216" s="161" t="s">
        <v>2149</v>
      </c>
      <c r="E216" s="161" t="s">
        <v>2170</v>
      </c>
      <c r="F216" s="161" t="s">
        <v>4782</v>
      </c>
      <c r="G216" s="161" t="s">
        <v>4825</v>
      </c>
      <c r="H216" s="161"/>
    </row>
    <row r="217" spans="1:8" x14ac:dyDescent="0.25">
      <c r="A217" s="159"/>
      <c r="B217" s="160"/>
      <c r="C217" s="159" t="s">
        <v>1985</v>
      </c>
      <c r="D217" s="161" t="s">
        <v>2150</v>
      </c>
      <c r="E217" s="159" t="s">
        <v>2171</v>
      </c>
      <c r="F217" s="159" t="s">
        <v>4748</v>
      </c>
      <c r="G217" s="161" t="s">
        <v>4825</v>
      </c>
      <c r="H217" s="161"/>
    </row>
    <row r="218" spans="1:8" ht="85.5" x14ac:dyDescent="0.25">
      <c r="A218" s="159"/>
      <c r="B218" s="160"/>
      <c r="C218" s="159" t="s">
        <v>2080</v>
      </c>
      <c r="D218" s="161" t="s">
        <v>2151</v>
      </c>
      <c r="E218" s="161" t="s">
        <v>22</v>
      </c>
      <c r="F218" s="161" t="s">
        <v>4788</v>
      </c>
      <c r="G218" s="161" t="s">
        <v>2174</v>
      </c>
      <c r="H218" s="161"/>
    </row>
    <row r="219" spans="1:8" ht="42.75" x14ac:dyDescent="0.25">
      <c r="A219" s="159"/>
      <c r="B219" s="160"/>
      <c r="C219" s="159" t="s">
        <v>2081</v>
      </c>
      <c r="D219" s="161" t="s">
        <v>2152</v>
      </c>
      <c r="E219" s="161" t="s">
        <v>2169</v>
      </c>
      <c r="F219" s="161" t="s">
        <v>4787</v>
      </c>
      <c r="G219" s="161" t="s">
        <v>4825</v>
      </c>
      <c r="H219" s="161"/>
    </row>
    <row r="220" spans="1:8" x14ac:dyDescent="0.25">
      <c r="A220" s="159"/>
      <c r="B220" s="160"/>
      <c r="C220" s="159" t="s">
        <v>2082</v>
      </c>
      <c r="D220" s="161" t="s">
        <v>2153</v>
      </c>
      <c r="E220" s="161" t="s">
        <v>24</v>
      </c>
      <c r="F220" s="161" t="s">
        <v>4117</v>
      </c>
      <c r="G220" s="161" t="s">
        <v>2180</v>
      </c>
      <c r="H220" s="161"/>
    </row>
    <row r="221" spans="1:8" x14ac:dyDescent="0.25">
      <c r="A221" s="159"/>
      <c r="B221" s="160"/>
      <c r="C221" s="159" t="s">
        <v>2083</v>
      </c>
      <c r="D221" s="161" t="s">
        <v>2153</v>
      </c>
      <c r="E221" s="163" t="s">
        <v>1903</v>
      </c>
      <c r="F221" s="163" t="s">
        <v>4746</v>
      </c>
      <c r="G221" s="161" t="s">
        <v>4825</v>
      </c>
      <c r="H221" s="161"/>
    </row>
    <row r="222" spans="1:8" ht="28.5" x14ac:dyDescent="0.25">
      <c r="A222" s="159"/>
      <c r="B222" s="160"/>
      <c r="C222" s="159" t="s">
        <v>2084</v>
      </c>
      <c r="D222" s="161" t="s">
        <v>2154</v>
      </c>
      <c r="E222" s="161" t="s">
        <v>2170</v>
      </c>
      <c r="F222" s="161" t="s">
        <v>4782</v>
      </c>
      <c r="G222" s="161" t="s">
        <v>4827</v>
      </c>
      <c r="H222" s="161"/>
    </row>
    <row r="223" spans="1:8" ht="28.5" x14ac:dyDescent="0.25">
      <c r="A223" s="159"/>
      <c r="B223" s="160"/>
      <c r="C223" s="159" t="s">
        <v>2085</v>
      </c>
      <c r="D223" s="161" t="s">
        <v>2155</v>
      </c>
      <c r="E223" s="161" t="s">
        <v>2170</v>
      </c>
      <c r="F223" s="161" t="s">
        <v>4782</v>
      </c>
      <c r="G223" s="161" t="s">
        <v>4825</v>
      </c>
      <c r="H223" s="161"/>
    </row>
    <row r="224" spans="1:8" x14ac:dyDescent="0.25">
      <c r="A224" s="159"/>
      <c r="B224" s="160"/>
      <c r="C224" s="159" t="s">
        <v>2086</v>
      </c>
      <c r="D224" s="161" t="s">
        <v>2156</v>
      </c>
      <c r="E224" s="159" t="s">
        <v>2171</v>
      </c>
      <c r="F224" s="159" t="s">
        <v>4749</v>
      </c>
      <c r="G224" s="161" t="s">
        <v>4825</v>
      </c>
      <c r="H224" s="161"/>
    </row>
    <row r="225" spans="1:8" ht="85.5" x14ac:dyDescent="0.25">
      <c r="A225" s="159"/>
      <c r="B225" s="160"/>
      <c r="C225" s="159" t="s">
        <v>2087</v>
      </c>
      <c r="D225" s="161" t="s">
        <v>2157</v>
      </c>
      <c r="E225" s="161" t="s">
        <v>22</v>
      </c>
      <c r="F225" s="161" t="s">
        <v>4788</v>
      </c>
      <c r="G225" s="161" t="s">
        <v>2174</v>
      </c>
      <c r="H225" s="161"/>
    </row>
    <row r="226" spans="1:8" ht="42.75" x14ac:dyDescent="0.25">
      <c r="A226" s="159"/>
      <c r="B226" s="160"/>
      <c r="C226" s="159" t="s">
        <v>2088</v>
      </c>
      <c r="D226" s="161" t="s">
        <v>2158</v>
      </c>
      <c r="E226" s="161" t="s">
        <v>2169</v>
      </c>
      <c r="F226" s="161" t="s">
        <v>4787</v>
      </c>
      <c r="G226" s="161" t="s">
        <v>4825</v>
      </c>
      <c r="H226" s="161"/>
    </row>
    <row r="227" spans="1:8" x14ac:dyDescent="0.25">
      <c r="A227" s="159"/>
      <c r="B227" s="160"/>
      <c r="C227" s="159" t="s">
        <v>2089</v>
      </c>
      <c r="D227" s="161" t="s">
        <v>2159</v>
      </c>
      <c r="E227" s="161" t="s">
        <v>24</v>
      </c>
      <c r="F227" s="161" t="s">
        <v>4117</v>
      </c>
      <c r="G227" s="161" t="s">
        <v>2180</v>
      </c>
      <c r="H227" s="161"/>
    </row>
    <row r="228" spans="1:8" x14ac:dyDescent="0.25">
      <c r="A228" s="159"/>
      <c r="B228" s="160"/>
      <c r="C228" s="159" t="s">
        <v>2090</v>
      </c>
      <c r="D228" s="161" t="s">
        <v>2159</v>
      </c>
      <c r="E228" s="163" t="s">
        <v>1903</v>
      </c>
      <c r="F228" s="163" t="s">
        <v>4746</v>
      </c>
      <c r="G228" s="161" t="s">
        <v>4825</v>
      </c>
      <c r="H228" s="161"/>
    </row>
    <row r="229" spans="1:8" ht="28.5" x14ac:dyDescent="0.25">
      <c r="A229" s="159"/>
      <c r="B229" s="160"/>
      <c r="C229" s="159" t="s">
        <v>2091</v>
      </c>
      <c r="D229" s="161" t="s">
        <v>2160</v>
      </c>
      <c r="E229" s="161" t="s">
        <v>2170</v>
      </c>
      <c r="F229" s="161" t="s">
        <v>4782</v>
      </c>
      <c r="G229" s="161" t="s">
        <v>4827</v>
      </c>
      <c r="H229" s="161"/>
    </row>
    <row r="230" spans="1:8" ht="28.5" x14ac:dyDescent="0.25">
      <c r="A230" s="159"/>
      <c r="B230" s="160"/>
      <c r="C230" s="159" t="s">
        <v>2092</v>
      </c>
      <c r="D230" s="161" t="s">
        <v>2161</v>
      </c>
      <c r="E230" s="161" t="s">
        <v>2170</v>
      </c>
      <c r="F230" s="161" t="s">
        <v>4782</v>
      </c>
      <c r="G230" s="161" t="s">
        <v>4825</v>
      </c>
      <c r="H230" s="161"/>
    </row>
    <row r="231" spans="1:8" x14ac:dyDescent="0.25">
      <c r="A231" s="159"/>
      <c r="B231" s="160"/>
      <c r="C231" s="159" t="s">
        <v>2093</v>
      </c>
      <c r="D231" s="161" t="s">
        <v>2162</v>
      </c>
      <c r="E231" s="159" t="s">
        <v>2171</v>
      </c>
      <c r="F231" s="159" t="s">
        <v>4749</v>
      </c>
      <c r="G231" s="161" t="s">
        <v>4825</v>
      </c>
      <c r="H231" s="161"/>
    </row>
    <row r="232" spans="1:8" ht="85.5" x14ac:dyDescent="0.25">
      <c r="A232" s="159"/>
      <c r="B232" s="160"/>
      <c r="C232" s="159" t="s">
        <v>2094</v>
      </c>
      <c r="D232" s="161" t="s">
        <v>2163</v>
      </c>
      <c r="E232" s="161" t="s">
        <v>22</v>
      </c>
      <c r="F232" s="161" t="s">
        <v>4788</v>
      </c>
      <c r="G232" s="161" t="s">
        <v>2174</v>
      </c>
      <c r="H232" s="161"/>
    </row>
    <row r="233" spans="1:8" ht="42.75" x14ac:dyDescent="0.25">
      <c r="A233" s="159"/>
      <c r="B233" s="160"/>
      <c r="C233" s="159" t="s">
        <v>1857</v>
      </c>
      <c r="D233" s="161" t="s">
        <v>2164</v>
      </c>
      <c r="E233" s="161" t="s">
        <v>2172</v>
      </c>
      <c r="F233" s="161" t="s">
        <v>4789</v>
      </c>
      <c r="G233" s="161" t="s">
        <v>2179</v>
      </c>
      <c r="H233" s="161"/>
    </row>
    <row r="234" spans="1:8" ht="71.25" customHeight="1" x14ac:dyDescent="0.25">
      <c r="A234" s="159"/>
      <c r="B234" s="160"/>
      <c r="C234" s="159" t="s">
        <v>2095</v>
      </c>
      <c r="D234" s="161" t="s">
        <v>2173</v>
      </c>
      <c r="E234" s="161" t="s">
        <v>91</v>
      </c>
      <c r="F234" s="161" t="s">
        <v>4127</v>
      </c>
      <c r="G234" s="161" t="s">
        <v>2181</v>
      </c>
      <c r="H234" s="161" t="s">
        <v>4845</v>
      </c>
    </row>
    <row r="235" spans="1:8" ht="14.25" customHeight="1" x14ac:dyDescent="0.25">
      <c r="A235" s="230" t="s">
        <v>4647</v>
      </c>
      <c r="B235" s="231"/>
      <c r="C235" s="231"/>
      <c r="D235" s="231"/>
      <c r="E235" s="231"/>
      <c r="F235" s="231"/>
      <c r="G235" s="231"/>
      <c r="H235" s="232"/>
    </row>
    <row r="236" spans="1:8" ht="33.75" customHeight="1" x14ac:dyDescent="0.25">
      <c r="A236" s="79"/>
      <c r="B236" s="85" t="s">
        <v>3012</v>
      </c>
      <c r="C236" s="80" t="s">
        <v>1786</v>
      </c>
      <c r="D236" s="60" t="s">
        <v>23</v>
      </c>
      <c r="E236" s="56" t="s">
        <v>24</v>
      </c>
      <c r="F236" s="56" t="s">
        <v>4117</v>
      </c>
      <c r="G236" s="56" t="s">
        <v>1894</v>
      </c>
      <c r="H236" s="56"/>
    </row>
    <row r="237" spans="1:8" x14ac:dyDescent="0.25">
      <c r="A237" s="79"/>
      <c r="B237" s="85" t="s">
        <v>3012</v>
      </c>
      <c r="C237" s="80" t="s">
        <v>70</v>
      </c>
      <c r="D237" s="60" t="s">
        <v>1892</v>
      </c>
      <c r="E237" s="79" t="s">
        <v>3768</v>
      </c>
      <c r="F237" s="79" t="s">
        <v>4790</v>
      </c>
      <c r="G237" s="56" t="s">
        <v>1894</v>
      </c>
      <c r="H237" s="56"/>
    </row>
    <row r="238" spans="1:8" ht="42.75" x14ac:dyDescent="0.25">
      <c r="A238" s="79"/>
      <c r="B238" s="85" t="s">
        <v>3012</v>
      </c>
      <c r="C238" s="80" t="s">
        <v>101</v>
      </c>
      <c r="D238" s="60" t="s">
        <v>2213</v>
      </c>
      <c r="E238" s="56" t="s">
        <v>79</v>
      </c>
      <c r="F238" s="56" t="s">
        <v>4791</v>
      </c>
      <c r="G238" s="56" t="s">
        <v>1894</v>
      </c>
      <c r="H238" s="56"/>
    </row>
    <row r="239" spans="1:8" x14ac:dyDescent="0.25">
      <c r="A239" s="79"/>
      <c r="B239" s="85" t="s">
        <v>3012</v>
      </c>
      <c r="C239" s="80" t="s">
        <v>84</v>
      </c>
      <c r="D239" s="60" t="s">
        <v>1893</v>
      </c>
      <c r="E239" s="86" t="s">
        <v>1903</v>
      </c>
      <c r="F239" s="86" t="s">
        <v>4746</v>
      </c>
      <c r="G239" s="56" t="s">
        <v>1894</v>
      </c>
      <c r="H239" s="56"/>
    </row>
    <row r="240" spans="1:8" x14ac:dyDescent="0.25">
      <c r="A240" s="79"/>
      <c r="B240" s="85"/>
      <c r="C240" s="80" t="s">
        <v>2182</v>
      </c>
      <c r="D240" s="60" t="s">
        <v>4692</v>
      </c>
      <c r="E240" s="86" t="s">
        <v>1903</v>
      </c>
      <c r="F240" s="86" t="s">
        <v>4746</v>
      </c>
      <c r="G240" s="56" t="s">
        <v>1894</v>
      </c>
      <c r="H240" s="56"/>
    </row>
    <row r="241" spans="1:8" x14ac:dyDescent="0.25">
      <c r="A241" s="79"/>
      <c r="B241" s="85"/>
      <c r="C241" s="80" t="s">
        <v>2183</v>
      </c>
      <c r="D241" s="60" t="s">
        <v>4693</v>
      </c>
      <c r="E241" s="56" t="s">
        <v>24</v>
      </c>
      <c r="F241" s="56" t="s">
        <v>4117</v>
      </c>
      <c r="G241" s="56" t="s">
        <v>2251</v>
      </c>
      <c r="H241" s="56"/>
    </row>
    <row r="242" spans="1:8" x14ac:dyDescent="0.25">
      <c r="A242" s="79"/>
      <c r="B242" s="85" t="s">
        <v>3012</v>
      </c>
      <c r="C242" s="80" t="s">
        <v>2184</v>
      </c>
      <c r="D242" s="60" t="s">
        <v>4694</v>
      </c>
      <c r="E242" s="86" t="s">
        <v>1903</v>
      </c>
      <c r="F242" s="86" t="s">
        <v>4746</v>
      </c>
      <c r="G242" s="56" t="s">
        <v>1896</v>
      </c>
      <c r="H242" s="56"/>
    </row>
    <row r="243" spans="1:8" x14ac:dyDescent="0.25">
      <c r="A243" s="79"/>
      <c r="B243" s="85" t="s">
        <v>3012</v>
      </c>
      <c r="C243" s="80" t="s">
        <v>2185</v>
      </c>
      <c r="D243" s="60" t="s">
        <v>4695</v>
      </c>
      <c r="E243" s="86" t="s">
        <v>1903</v>
      </c>
      <c r="F243" s="86" t="s">
        <v>4746</v>
      </c>
      <c r="G243" s="56" t="s">
        <v>1896</v>
      </c>
      <c r="H243" s="56"/>
    </row>
    <row r="244" spans="1:8" ht="28.5" x14ac:dyDescent="0.25">
      <c r="A244" s="79"/>
      <c r="B244" s="85"/>
      <c r="C244" s="80" t="s">
        <v>2186</v>
      </c>
      <c r="D244" s="60" t="s">
        <v>4696</v>
      </c>
      <c r="E244" s="56" t="s">
        <v>24</v>
      </c>
      <c r="F244" s="56" t="s">
        <v>4117</v>
      </c>
      <c r="G244" s="56" t="s">
        <v>2251</v>
      </c>
      <c r="H244" s="56"/>
    </row>
    <row r="245" spans="1:8" ht="28.5" x14ac:dyDescent="0.25">
      <c r="A245" s="79"/>
      <c r="B245" s="85"/>
      <c r="C245" s="80" t="s">
        <v>2187</v>
      </c>
      <c r="D245" s="60" t="s">
        <v>4697</v>
      </c>
      <c r="E245" s="86" t="s">
        <v>1903</v>
      </c>
      <c r="F245" s="86" t="s">
        <v>4746</v>
      </c>
      <c r="G245" s="56" t="s">
        <v>1896</v>
      </c>
      <c r="H245" s="56"/>
    </row>
    <row r="246" spans="1:8" x14ac:dyDescent="0.25">
      <c r="A246" s="79"/>
      <c r="B246" s="85"/>
      <c r="C246" s="80" t="s">
        <v>1941</v>
      </c>
      <c r="D246" s="60" t="s">
        <v>2214</v>
      </c>
      <c r="E246" s="86" t="s">
        <v>1903</v>
      </c>
      <c r="F246" s="86" t="s">
        <v>4746</v>
      </c>
      <c r="G246" s="56" t="s">
        <v>4825</v>
      </c>
      <c r="H246" s="56"/>
    </row>
    <row r="247" spans="1:8" x14ac:dyDescent="0.25">
      <c r="A247" s="79"/>
      <c r="B247" s="85"/>
      <c r="C247" s="80" t="s">
        <v>1942</v>
      </c>
      <c r="D247" s="60" t="s">
        <v>2215</v>
      </c>
      <c r="E247" s="86" t="s">
        <v>1903</v>
      </c>
      <c r="F247" s="86" t="s">
        <v>4746</v>
      </c>
      <c r="G247" s="56" t="s">
        <v>4825</v>
      </c>
      <c r="H247" s="56"/>
    </row>
    <row r="248" spans="1:8" x14ac:dyDescent="0.25">
      <c r="A248" s="79"/>
      <c r="B248" s="85"/>
      <c r="C248" s="80" t="s">
        <v>1943</v>
      </c>
      <c r="D248" s="60" t="s">
        <v>2216</v>
      </c>
      <c r="E248" s="86" t="s">
        <v>1903</v>
      </c>
      <c r="F248" s="86" t="s">
        <v>4746</v>
      </c>
      <c r="G248" s="56" t="s">
        <v>4825</v>
      </c>
      <c r="H248" s="56"/>
    </row>
    <row r="249" spans="1:8" x14ac:dyDescent="0.25">
      <c r="A249" s="79"/>
      <c r="B249" s="85"/>
      <c r="C249" s="80" t="s">
        <v>1944</v>
      </c>
      <c r="D249" s="60" t="s">
        <v>2217</v>
      </c>
      <c r="E249" s="86" t="s">
        <v>1903</v>
      </c>
      <c r="F249" s="86" t="s">
        <v>4746</v>
      </c>
      <c r="G249" s="56" t="s">
        <v>4825</v>
      </c>
      <c r="H249" s="56"/>
    </row>
    <row r="250" spans="1:8" ht="28.5" x14ac:dyDescent="0.25">
      <c r="A250" s="79"/>
      <c r="B250" s="85"/>
      <c r="C250" s="80" t="s">
        <v>1978</v>
      </c>
      <c r="D250" s="60" t="s">
        <v>4698</v>
      </c>
      <c r="E250" s="56" t="s">
        <v>2170</v>
      </c>
      <c r="F250" s="56" t="s">
        <v>4782</v>
      </c>
      <c r="G250" s="56" t="s">
        <v>4825</v>
      </c>
      <c r="H250" s="56" t="s">
        <v>3769</v>
      </c>
    </row>
    <row r="251" spans="1:8" ht="142.5" x14ac:dyDescent="0.25">
      <c r="A251" s="79"/>
      <c r="B251" s="85"/>
      <c r="C251" s="80" t="s">
        <v>1979</v>
      </c>
      <c r="D251" s="60" t="s">
        <v>4699</v>
      </c>
      <c r="E251" s="56" t="s">
        <v>4838</v>
      </c>
      <c r="F251" s="79" t="s">
        <v>4748</v>
      </c>
      <c r="G251" s="56" t="s">
        <v>4825</v>
      </c>
      <c r="H251" s="56" t="s">
        <v>4837</v>
      </c>
    </row>
    <row r="252" spans="1:8" ht="28.5" x14ac:dyDescent="0.25">
      <c r="A252" s="79"/>
      <c r="B252" s="85"/>
      <c r="C252" s="80" t="s">
        <v>1980</v>
      </c>
      <c r="D252" s="60" t="s">
        <v>4700</v>
      </c>
      <c r="E252" s="56" t="s">
        <v>2170</v>
      </c>
      <c r="F252" s="56" t="s">
        <v>4782</v>
      </c>
      <c r="G252" s="56" t="s">
        <v>4825</v>
      </c>
      <c r="H252" s="56" t="s">
        <v>3769</v>
      </c>
    </row>
    <row r="253" spans="1:8" ht="28.5" x14ac:dyDescent="0.25">
      <c r="A253" s="79"/>
      <c r="B253" s="85"/>
      <c r="C253" s="80" t="s">
        <v>1981</v>
      </c>
      <c r="D253" s="60" t="s">
        <v>4700</v>
      </c>
      <c r="E253" s="56" t="s">
        <v>4838</v>
      </c>
      <c r="F253" s="79" t="s">
        <v>4749</v>
      </c>
      <c r="G253" s="56" t="s">
        <v>4825</v>
      </c>
      <c r="H253" s="56" t="s">
        <v>3769</v>
      </c>
    </row>
    <row r="254" spans="1:8" ht="28.5" x14ac:dyDescent="0.25">
      <c r="A254" s="79"/>
      <c r="B254" s="85"/>
      <c r="C254" s="80" t="s">
        <v>1982</v>
      </c>
      <c r="D254" s="60" t="s">
        <v>4701</v>
      </c>
      <c r="E254" s="56" t="s">
        <v>2170</v>
      </c>
      <c r="F254" s="56" t="s">
        <v>4782</v>
      </c>
      <c r="G254" s="56" t="s">
        <v>4825</v>
      </c>
      <c r="H254" s="56" t="s">
        <v>3769</v>
      </c>
    </row>
    <row r="255" spans="1:8" ht="28.5" x14ac:dyDescent="0.25">
      <c r="A255" s="79"/>
      <c r="B255" s="85"/>
      <c r="C255" s="80" t="s">
        <v>1983</v>
      </c>
      <c r="D255" s="60" t="s">
        <v>4701</v>
      </c>
      <c r="E255" s="56" t="s">
        <v>4838</v>
      </c>
      <c r="F255" s="79" t="s">
        <v>4749</v>
      </c>
      <c r="G255" s="56" t="s">
        <v>4825</v>
      </c>
      <c r="H255" s="56" t="s">
        <v>3769</v>
      </c>
    </row>
    <row r="256" spans="1:8" ht="28.5" x14ac:dyDescent="0.25">
      <c r="A256" s="79"/>
      <c r="B256" s="85"/>
      <c r="C256" s="80" t="s">
        <v>1984</v>
      </c>
      <c r="D256" s="60" t="s">
        <v>4702</v>
      </c>
      <c r="E256" s="56" t="s">
        <v>2170</v>
      </c>
      <c r="F256" s="56" t="s">
        <v>4782</v>
      </c>
      <c r="G256" s="56" t="s">
        <v>4825</v>
      </c>
      <c r="H256" s="56" t="s">
        <v>3769</v>
      </c>
    </row>
    <row r="257" spans="1:8" ht="28.5" x14ac:dyDescent="0.25">
      <c r="A257" s="79"/>
      <c r="B257" s="85"/>
      <c r="C257" s="80" t="s">
        <v>1985</v>
      </c>
      <c r="D257" s="60" t="s">
        <v>4702</v>
      </c>
      <c r="E257" s="56" t="s">
        <v>4838</v>
      </c>
      <c r="F257" s="79" t="s">
        <v>4749</v>
      </c>
      <c r="G257" s="56" t="s">
        <v>4825</v>
      </c>
      <c r="H257" s="56" t="s">
        <v>3769</v>
      </c>
    </row>
    <row r="258" spans="1:8" ht="28.5" x14ac:dyDescent="0.25">
      <c r="A258" s="79"/>
      <c r="B258" s="85"/>
      <c r="C258" s="80" t="s">
        <v>1816</v>
      </c>
      <c r="D258" s="60" t="s">
        <v>4703</v>
      </c>
      <c r="E258" s="56" t="s">
        <v>91</v>
      </c>
      <c r="F258" s="56" t="s">
        <v>4120</v>
      </c>
      <c r="G258" s="56" t="s">
        <v>1894</v>
      </c>
      <c r="H258" s="56"/>
    </row>
    <row r="259" spans="1:8" x14ac:dyDescent="0.25">
      <c r="A259" s="79"/>
      <c r="B259" s="85"/>
      <c r="C259" s="80" t="s">
        <v>1824</v>
      </c>
      <c r="D259" s="60" t="s">
        <v>2218</v>
      </c>
      <c r="E259" s="87" t="s">
        <v>1910</v>
      </c>
      <c r="F259" s="56" t="s">
        <v>4751</v>
      </c>
      <c r="G259" s="56" t="s">
        <v>1896</v>
      </c>
      <c r="H259" s="56"/>
    </row>
    <row r="260" spans="1:8" x14ac:dyDescent="0.25">
      <c r="A260" s="79"/>
      <c r="B260" s="85"/>
      <c r="C260" s="80" t="s">
        <v>2188</v>
      </c>
      <c r="D260" s="60" t="s">
        <v>4704</v>
      </c>
      <c r="E260" s="87" t="s">
        <v>1910</v>
      </c>
      <c r="F260" s="56" t="s">
        <v>4751</v>
      </c>
      <c r="G260" s="56" t="s">
        <v>1894</v>
      </c>
      <c r="H260" s="56"/>
    </row>
    <row r="261" spans="1:8" ht="99.75" x14ac:dyDescent="0.25">
      <c r="A261" s="79"/>
      <c r="B261" s="85"/>
      <c r="C261" s="80" t="s">
        <v>2189</v>
      </c>
      <c r="D261" s="60" t="s">
        <v>4705</v>
      </c>
      <c r="E261" s="56" t="s">
        <v>1916</v>
      </c>
      <c r="F261" s="56" t="s">
        <v>4759</v>
      </c>
      <c r="G261" s="56" t="s">
        <v>1894</v>
      </c>
      <c r="H261" s="56"/>
    </row>
    <row r="262" spans="1:8" ht="99.75" x14ac:dyDescent="0.25">
      <c r="A262" s="79"/>
      <c r="B262" s="85"/>
      <c r="C262" s="80" t="s">
        <v>1952</v>
      </c>
      <c r="D262" s="60" t="s">
        <v>4706</v>
      </c>
      <c r="E262" s="56" t="s">
        <v>1916</v>
      </c>
      <c r="F262" s="56" t="s">
        <v>4759</v>
      </c>
      <c r="G262" s="56" t="s">
        <v>2252</v>
      </c>
      <c r="H262" s="56"/>
    </row>
    <row r="263" spans="1:8" x14ac:dyDescent="0.25">
      <c r="A263" s="79"/>
      <c r="B263" s="85"/>
      <c r="C263" s="80" t="s">
        <v>2190</v>
      </c>
      <c r="D263" s="60" t="s">
        <v>4707</v>
      </c>
      <c r="E263" s="87" t="s">
        <v>1910</v>
      </c>
      <c r="F263" s="56" t="s">
        <v>4751</v>
      </c>
      <c r="G263" s="56" t="s">
        <v>1896</v>
      </c>
      <c r="H263" s="56"/>
    </row>
    <row r="264" spans="1:8" ht="71.25" x14ac:dyDescent="0.25">
      <c r="A264" s="79"/>
      <c r="B264" s="186"/>
      <c r="C264" s="187" t="s">
        <v>2191</v>
      </c>
      <c r="D264" s="188" t="s">
        <v>2219</v>
      </c>
      <c r="E264" s="189" t="s">
        <v>3763</v>
      </c>
      <c r="F264" s="189" t="s">
        <v>2254</v>
      </c>
      <c r="G264" s="189" t="s">
        <v>1896</v>
      </c>
      <c r="H264" s="56" t="s">
        <v>4839</v>
      </c>
    </row>
    <row r="265" spans="1:8" x14ac:dyDescent="0.2">
      <c r="A265" s="99"/>
      <c r="B265" s="85" t="s">
        <v>3012</v>
      </c>
      <c r="C265" s="79" t="s">
        <v>1988</v>
      </c>
      <c r="D265" s="79" t="s">
        <v>4708</v>
      </c>
      <c r="E265" s="190" t="s">
        <v>1918</v>
      </c>
      <c r="F265" s="56" t="s">
        <v>4792</v>
      </c>
      <c r="G265" s="56" t="s">
        <v>1896</v>
      </c>
      <c r="H265" s="100"/>
    </row>
    <row r="266" spans="1:8" x14ac:dyDescent="0.2">
      <c r="A266" s="99"/>
      <c r="B266" s="85" t="s">
        <v>3012</v>
      </c>
      <c r="C266" s="79" t="s">
        <v>3764</v>
      </c>
      <c r="D266" s="79" t="s">
        <v>3766</v>
      </c>
      <c r="E266" s="190" t="s">
        <v>3765</v>
      </c>
      <c r="F266" s="56" t="s">
        <v>4793</v>
      </c>
      <c r="G266" s="56" t="s">
        <v>1896</v>
      </c>
      <c r="H266" s="100"/>
    </row>
    <row r="267" spans="1:8" ht="384.75" x14ac:dyDescent="0.25">
      <c r="A267" s="79"/>
      <c r="B267" s="85"/>
      <c r="C267" s="80" t="s">
        <v>1989</v>
      </c>
      <c r="D267" s="60" t="s">
        <v>4709</v>
      </c>
      <c r="E267" s="56" t="s">
        <v>129</v>
      </c>
      <c r="F267" s="56" t="s">
        <v>4089</v>
      </c>
      <c r="G267" s="56" t="s">
        <v>1894</v>
      </c>
      <c r="H267" s="56"/>
    </row>
    <row r="268" spans="1:8" ht="28.5" x14ac:dyDescent="0.25">
      <c r="A268" s="79"/>
      <c r="B268" s="85"/>
      <c r="C268" s="80" t="s">
        <v>2192</v>
      </c>
      <c r="D268" s="60" t="s">
        <v>2220</v>
      </c>
      <c r="E268" s="87" t="s">
        <v>1910</v>
      </c>
      <c r="F268" s="56" t="s">
        <v>1911</v>
      </c>
      <c r="G268" s="56" t="s">
        <v>4091</v>
      </c>
      <c r="H268" s="56"/>
    </row>
    <row r="269" spans="1:8" ht="28.5" x14ac:dyDescent="0.25">
      <c r="A269" s="79"/>
      <c r="B269" s="85"/>
      <c r="C269" s="80" t="s">
        <v>1802</v>
      </c>
      <c r="D269" s="60" t="s">
        <v>2221</v>
      </c>
      <c r="E269" s="79" t="s">
        <v>1904</v>
      </c>
      <c r="F269" s="79" t="s">
        <v>4794</v>
      </c>
      <c r="G269" s="56" t="s">
        <v>4090</v>
      </c>
      <c r="H269" s="56"/>
    </row>
    <row r="270" spans="1:8" ht="28.5" x14ac:dyDescent="0.25">
      <c r="A270" s="79"/>
      <c r="B270" s="85"/>
      <c r="C270" s="80" t="s">
        <v>2193</v>
      </c>
      <c r="D270" s="60" t="s">
        <v>2222</v>
      </c>
      <c r="E270" s="79" t="s">
        <v>1904</v>
      </c>
      <c r="F270" s="79" t="s">
        <v>4794</v>
      </c>
      <c r="G270" s="56" t="s">
        <v>4822</v>
      </c>
      <c r="H270" s="56"/>
    </row>
    <row r="271" spans="1:8" x14ac:dyDescent="0.25">
      <c r="A271" s="79"/>
      <c r="B271" s="85"/>
      <c r="C271" s="80" t="s">
        <v>2194</v>
      </c>
      <c r="D271" s="60" t="s">
        <v>4710</v>
      </c>
      <c r="E271" s="79" t="s">
        <v>1907</v>
      </c>
      <c r="F271" s="79" t="s">
        <v>4748</v>
      </c>
      <c r="G271" s="56" t="s">
        <v>1894</v>
      </c>
      <c r="H271" s="56"/>
    </row>
    <row r="272" spans="1:8" x14ac:dyDescent="0.25">
      <c r="A272" s="79"/>
      <c r="B272" s="85"/>
      <c r="C272" s="80" t="s">
        <v>2195</v>
      </c>
      <c r="D272" s="60" t="s">
        <v>2176</v>
      </c>
      <c r="E272" s="79" t="s">
        <v>2255</v>
      </c>
      <c r="F272" s="79" t="s">
        <v>4748</v>
      </c>
      <c r="G272" s="56" t="s">
        <v>1894</v>
      </c>
      <c r="H272" s="56"/>
    </row>
    <row r="273" spans="1:8" x14ac:dyDescent="0.25">
      <c r="A273" s="79"/>
      <c r="B273" s="85"/>
      <c r="C273" s="80" t="s">
        <v>1810</v>
      </c>
      <c r="D273" s="60" t="s">
        <v>2103</v>
      </c>
      <c r="E273" s="79" t="s">
        <v>2255</v>
      </c>
      <c r="F273" s="79" t="s">
        <v>4748</v>
      </c>
      <c r="G273" s="56" t="s">
        <v>4822</v>
      </c>
      <c r="H273" s="56"/>
    </row>
    <row r="274" spans="1:8" x14ac:dyDescent="0.25">
      <c r="A274" s="79"/>
      <c r="B274" s="85"/>
      <c r="C274" s="80" t="s">
        <v>2196</v>
      </c>
      <c r="D274" s="60" t="s">
        <v>2177</v>
      </c>
      <c r="E274" s="79" t="s">
        <v>1908</v>
      </c>
      <c r="F274" s="79" t="s">
        <v>4749</v>
      </c>
      <c r="G274" s="56" t="s">
        <v>1894</v>
      </c>
      <c r="H274" s="56"/>
    </row>
    <row r="275" spans="1:8" x14ac:dyDescent="0.25">
      <c r="A275" s="79"/>
      <c r="B275" s="85"/>
      <c r="C275" s="80" t="s">
        <v>1808</v>
      </c>
      <c r="D275" s="60" t="s">
        <v>2105</v>
      </c>
      <c r="E275" s="79" t="s">
        <v>1908</v>
      </c>
      <c r="F275" s="79" t="s">
        <v>4749</v>
      </c>
      <c r="G275" s="56" t="s">
        <v>1896</v>
      </c>
      <c r="H275" s="56"/>
    </row>
    <row r="276" spans="1:8" x14ac:dyDescent="0.25">
      <c r="A276" s="79"/>
      <c r="B276" s="85"/>
      <c r="C276" s="80" t="s">
        <v>2197</v>
      </c>
      <c r="D276" s="60" t="s">
        <v>2223</v>
      </c>
      <c r="E276" s="79" t="s">
        <v>2255</v>
      </c>
      <c r="F276" s="79" t="s">
        <v>4748</v>
      </c>
      <c r="G276" s="56" t="s">
        <v>1894</v>
      </c>
      <c r="H276" s="56"/>
    </row>
    <row r="277" spans="1:8" x14ac:dyDescent="0.25">
      <c r="A277" s="79"/>
      <c r="B277" s="85"/>
      <c r="C277" s="80" t="s">
        <v>2198</v>
      </c>
      <c r="D277" s="60" t="s">
        <v>2224</v>
      </c>
      <c r="E277" s="79" t="s">
        <v>2255</v>
      </c>
      <c r="F277" s="79" t="s">
        <v>4748</v>
      </c>
      <c r="G277" s="56" t="s">
        <v>4822</v>
      </c>
      <c r="H277" s="56"/>
    </row>
    <row r="278" spans="1:8" x14ac:dyDescent="0.25">
      <c r="A278" s="79"/>
      <c r="B278" s="85"/>
      <c r="C278" s="80" t="s">
        <v>2199</v>
      </c>
      <c r="D278" s="60" t="s">
        <v>2225</v>
      </c>
      <c r="E278" s="79" t="s">
        <v>1908</v>
      </c>
      <c r="F278" s="79" t="s">
        <v>4749</v>
      </c>
      <c r="G278" s="56" t="s">
        <v>1896</v>
      </c>
      <c r="H278" s="56"/>
    </row>
    <row r="279" spans="1:8" x14ac:dyDescent="0.25">
      <c r="A279" s="79"/>
      <c r="B279" s="85"/>
      <c r="C279" s="80" t="s">
        <v>2200</v>
      </c>
      <c r="D279" s="60" t="s">
        <v>4711</v>
      </c>
      <c r="E279" s="79" t="s">
        <v>1907</v>
      </c>
      <c r="F279" s="79" t="s">
        <v>4748</v>
      </c>
      <c r="G279" s="56" t="s">
        <v>1894</v>
      </c>
      <c r="H279" s="56"/>
    </row>
    <row r="280" spans="1:8" x14ac:dyDescent="0.25">
      <c r="A280" s="79"/>
      <c r="B280" s="85"/>
      <c r="C280" s="80" t="s">
        <v>2201</v>
      </c>
      <c r="D280" s="60" t="s">
        <v>4712</v>
      </c>
      <c r="E280" s="79" t="s">
        <v>1907</v>
      </c>
      <c r="F280" s="79" t="s">
        <v>4748</v>
      </c>
      <c r="G280" s="56" t="s">
        <v>1896</v>
      </c>
      <c r="H280" s="56"/>
    </row>
    <row r="281" spans="1:8" x14ac:dyDescent="0.25">
      <c r="A281" s="79"/>
      <c r="B281" s="85"/>
      <c r="C281" s="80" t="s">
        <v>1804</v>
      </c>
      <c r="D281" s="60" t="s">
        <v>4713</v>
      </c>
      <c r="E281" s="79" t="s">
        <v>1907</v>
      </c>
      <c r="F281" s="79" t="s">
        <v>4748</v>
      </c>
      <c r="G281" s="56" t="s">
        <v>2253</v>
      </c>
      <c r="H281" s="56"/>
    </row>
    <row r="282" spans="1:8" ht="57" x14ac:dyDescent="0.25">
      <c r="A282" s="79"/>
      <c r="B282" s="85"/>
      <c r="C282" s="80" t="s">
        <v>2202</v>
      </c>
      <c r="D282" s="60" t="s">
        <v>4714</v>
      </c>
      <c r="E282" s="56" t="s">
        <v>3773</v>
      </c>
      <c r="F282" s="56" t="s">
        <v>4795</v>
      </c>
      <c r="G282" s="56" t="s">
        <v>1894</v>
      </c>
      <c r="H282" s="56"/>
    </row>
    <row r="283" spans="1:8" ht="142.5" x14ac:dyDescent="0.25">
      <c r="A283" s="79"/>
      <c r="B283" s="85"/>
      <c r="C283" s="80" t="s">
        <v>2203</v>
      </c>
      <c r="D283" s="60" t="s">
        <v>4715</v>
      </c>
      <c r="E283" s="56" t="s">
        <v>3774</v>
      </c>
      <c r="F283" s="56" t="s">
        <v>4841</v>
      </c>
      <c r="G283" s="56" t="s">
        <v>1894</v>
      </c>
      <c r="H283" s="56" t="s">
        <v>4840</v>
      </c>
    </row>
    <row r="284" spans="1:8" ht="28.5" x14ac:dyDescent="0.25">
      <c r="A284" s="79"/>
      <c r="B284" s="85"/>
      <c r="C284" s="80" t="s">
        <v>2204</v>
      </c>
      <c r="D284" s="60" t="s">
        <v>4716</v>
      </c>
      <c r="E284" s="56" t="s">
        <v>3770</v>
      </c>
      <c r="F284" s="56" t="s">
        <v>4796</v>
      </c>
      <c r="G284" s="56" t="s">
        <v>1894</v>
      </c>
      <c r="H284" s="56" t="s">
        <v>3771</v>
      </c>
    </row>
    <row r="285" spans="1:8" ht="85.5" x14ac:dyDescent="0.25">
      <c r="A285" s="79"/>
      <c r="B285" s="85"/>
      <c r="C285" s="80" t="s">
        <v>2205</v>
      </c>
      <c r="D285" s="60" t="s">
        <v>4717</v>
      </c>
      <c r="E285" s="56" t="s">
        <v>1913</v>
      </c>
      <c r="F285" s="56" t="s">
        <v>4797</v>
      </c>
      <c r="G285" s="56" t="s">
        <v>4830</v>
      </c>
      <c r="H285" s="56"/>
    </row>
    <row r="286" spans="1:8" ht="42.75" x14ac:dyDescent="0.25">
      <c r="A286" s="79"/>
      <c r="B286" s="85"/>
      <c r="C286" s="80" t="s">
        <v>1863</v>
      </c>
      <c r="D286" s="60" t="s">
        <v>2226</v>
      </c>
      <c r="E286" s="56" t="s">
        <v>1927</v>
      </c>
      <c r="F286" s="56" t="s">
        <v>4781</v>
      </c>
      <c r="G286" s="56" t="s">
        <v>4831</v>
      </c>
      <c r="H286" s="56"/>
    </row>
    <row r="287" spans="1:8" ht="42.75" x14ac:dyDescent="0.25">
      <c r="A287" s="79"/>
      <c r="B287" s="85"/>
      <c r="C287" s="80" t="s">
        <v>2206</v>
      </c>
      <c r="D287" s="60" t="s">
        <v>4718</v>
      </c>
      <c r="E287" s="56" t="s">
        <v>1927</v>
      </c>
      <c r="F287" s="56" t="s">
        <v>4781</v>
      </c>
      <c r="G287" s="56" t="s">
        <v>1896</v>
      </c>
      <c r="H287" s="56" t="s">
        <v>4835</v>
      </c>
    </row>
    <row r="288" spans="1:8" ht="42.75" x14ac:dyDescent="0.25">
      <c r="A288" s="79"/>
      <c r="B288" s="85"/>
      <c r="C288" s="80" t="s">
        <v>2207</v>
      </c>
      <c r="D288" s="60" t="s">
        <v>2227</v>
      </c>
      <c r="E288" s="56" t="s">
        <v>1927</v>
      </c>
      <c r="F288" s="56" t="s">
        <v>4781</v>
      </c>
      <c r="G288" s="56" t="s">
        <v>1896</v>
      </c>
      <c r="H288" s="56" t="s">
        <v>4835</v>
      </c>
    </row>
    <row r="289" spans="1:8" ht="42.75" x14ac:dyDescent="0.25">
      <c r="A289" s="79"/>
      <c r="B289" s="85"/>
      <c r="C289" s="80" t="s">
        <v>2208</v>
      </c>
      <c r="D289" s="60" t="s">
        <v>4719</v>
      </c>
      <c r="E289" s="56" t="s">
        <v>1927</v>
      </c>
      <c r="F289" s="56" t="s">
        <v>4781</v>
      </c>
      <c r="G289" s="56" t="s">
        <v>1896</v>
      </c>
      <c r="H289" s="56" t="s">
        <v>4835</v>
      </c>
    </row>
    <row r="290" spans="1:8" ht="42.75" x14ac:dyDescent="0.25">
      <c r="A290" s="79"/>
      <c r="B290" s="85"/>
      <c r="C290" s="80" t="s">
        <v>2209</v>
      </c>
      <c r="D290" s="60" t="s">
        <v>2228</v>
      </c>
      <c r="E290" s="56" t="s">
        <v>1927</v>
      </c>
      <c r="F290" s="56" t="s">
        <v>4781</v>
      </c>
      <c r="G290" s="56" t="s">
        <v>1896</v>
      </c>
      <c r="H290" s="56" t="s">
        <v>4835</v>
      </c>
    </row>
    <row r="291" spans="1:8" ht="28.5" x14ac:dyDescent="0.25">
      <c r="A291" s="79"/>
      <c r="B291" s="85"/>
      <c r="C291" s="80" t="s">
        <v>2210</v>
      </c>
      <c r="D291" s="60" t="s">
        <v>2229</v>
      </c>
      <c r="E291" s="56" t="s">
        <v>89</v>
      </c>
      <c r="F291" s="56" t="s">
        <v>4769</v>
      </c>
      <c r="G291" s="56" t="s">
        <v>1896</v>
      </c>
      <c r="H291" s="56"/>
    </row>
    <row r="292" spans="1:8" ht="28.5" x14ac:dyDescent="0.25">
      <c r="A292" s="79"/>
      <c r="B292" s="85"/>
      <c r="C292" s="80" t="s">
        <v>1874</v>
      </c>
      <c r="D292" s="60" t="s">
        <v>2230</v>
      </c>
      <c r="E292" s="56" t="s">
        <v>89</v>
      </c>
      <c r="F292" s="56" t="s">
        <v>4769</v>
      </c>
      <c r="G292" s="56" t="s">
        <v>1896</v>
      </c>
      <c r="H292" s="56"/>
    </row>
    <row r="293" spans="1:8" ht="28.5" x14ac:dyDescent="0.25">
      <c r="A293" s="79"/>
      <c r="B293" s="85"/>
      <c r="C293" s="80" t="s">
        <v>2211</v>
      </c>
      <c r="D293" s="60" t="s">
        <v>4720</v>
      </c>
      <c r="E293" s="56" t="s">
        <v>89</v>
      </c>
      <c r="F293" s="56" t="s">
        <v>4769</v>
      </c>
      <c r="G293" s="56" t="s">
        <v>1896</v>
      </c>
      <c r="H293" s="56"/>
    </row>
    <row r="294" spans="1:8" ht="28.5" x14ac:dyDescent="0.25">
      <c r="A294" s="79"/>
      <c r="B294" s="85"/>
      <c r="C294" s="80" t="s">
        <v>1968</v>
      </c>
      <c r="D294" s="60" t="s">
        <v>2231</v>
      </c>
      <c r="E294" s="56" t="s">
        <v>89</v>
      </c>
      <c r="F294" s="56" t="s">
        <v>4769</v>
      </c>
      <c r="G294" s="56" t="s">
        <v>1896</v>
      </c>
      <c r="H294" s="56"/>
    </row>
    <row r="295" spans="1:8" x14ac:dyDescent="0.25">
      <c r="A295" s="79"/>
      <c r="B295" s="85"/>
      <c r="C295" s="80" t="s">
        <v>2212</v>
      </c>
      <c r="D295" s="60" t="s">
        <v>4722</v>
      </c>
      <c r="E295" s="79" t="s">
        <v>1907</v>
      </c>
      <c r="F295" s="79" t="s">
        <v>4748</v>
      </c>
      <c r="G295" s="56" t="s">
        <v>1894</v>
      </c>
      <c r="H295" s="56"/>
    </row>
    <row r="296" spans="1:8" ht="99.75" x14ac:dyDescent="0.25">
      <c r="A296" s="79"/>
      <c r="B296" s="85"/>
      <c r="C296" s="80" t="s">
        <v>1987</v>
      </c>
      <c r="D296" s="60" t="s">
        <v>4721</v>
      </c>
      <c r="E296" s="56" t="s">
        <v>2256</v>
      </c>
      <c r="F296" s="56" t="s">
        <v>4798</v>
      </c>
      <c r="G296" s="56" t="s">
        <v>1894</v>
      </c>
      <c r="H296" s="56"/>
    </row>
    <row r="297" spans="1:8" x14ac:dyDescent="0.25">
      <c r="A297" s="79"/>
      <c r="B297" s="85" t="s">
        <v>3012</v>
      </c>
      <c r="C297" s="80" t="s">
        <v>3017</v>
      </c>
      <c r="D297" s="60" t="s">
        <v>265</v>
      </c>
      <c r="E297" s="79" t="s">
        <v>3753</v>
      </c>
      <c r="F297" s="79" t="s">
        <v>4799</v>
      </c>
      <c r="G297" s="56" t="s">
        <v>2248</v>
      </c>
      <c r="H297" s="56"/>
    </row>
    <row r="298" spans="1:8" x14ac:dyDescent="0.25">
      <c r="A298" s="79"/>
      <c r="B298" s="85" t="s">
        <v>3012</v>
      </c>
      <c r="C298" s="80" t="s">
        <v>3018</v>
      </c>
      <c r="D298" s="60" t="s">
        <v>269</v>
      </c>
      <c r="E298" s="79" t="s">
        <v>3754</v>
      </c>
      <c r="F298" s="79" t="s">
        <v>4799</v>
      </c>
      <c r="G298" s="56" t="s">
        <v>2248</v>
      </c>
      <c r="H298" s="56"/>
    </row>
    <row r="299" spans="1:8" x14ac:dyDescent="0.25">
      <c r="A299" s="79"/>
      <c r="B299" s="85" t="s">
        <v>3012</v>
      </c>
      <c r="C299" s="80" t="s">
        <v>3019</v>
      </c>
      <c r="D299" s="60" t="s">
        <v>272</v>
      </c>
      <c r="E299" s="79" t="s">
        <v>3753</v>
      </c>
      <c r="F299" s="79" t="s">
        <v>4799</v>
      </c>
      <c r="G299" s="56" t="s">
        <v>2248</v>
      </c>
      <c r="H299" s="56"/>
    </row>
    <row r="300" spans="1:8" x14ac:dyDescent="0.25">
      <c r="A300" s="79"/>
      <c r="B300" s="85" t="s">
        <v>3012</v>
      </c>
      <c r="C300" s="80" t="s">
        <v>3020</v>
      </c>
      <c r="D300" s="60" t="s">
        <v>275</v>
      </c>
      <c r="E300" s="79" t="s">
        <v>3754</v>
      </c>
      <c r="F300" s="79" t="s">
        <v>4799</v>
      </c>
      <c r="G300" s="56" t="s">
        <v>2248</v>
      </c>
      <c r="H300" s="56"/>
    </row>
    <row r="301" spans="1:8" ht="28.5" x14ac:dyDescent="0.25">
      <c r="A301" s="79"/>
      <c r="B301" s="85" t="s">
        <v>3012</v>
      </c>
      <c r="C301" s="80" t="s">
        <v>3021</v>
      </c>
      <c r="D301" s="60" t="s">
        <v>276</v>
      </c>
      <c r="E301" s="79" t="s">
        <v>277</v>
      </c>
      <c r="F301" s="79" t="s">
        <v>4799</v>
      </c>
      <c r="G301" s="56" t="s">
        <v>2249</v>
      </c>
      <c r="H301" s="56"/>
    </row>
    <row r="302" spans="1:8" x14ac:dyDescent="0.25">
      <c r="A302" s="79"/>
      <c r="B302" s="85" t="s">
        <v>3012</v>
      </c>
      <c r="C302" s="80" t="s">
        <v>3022</v>
      </c>
      <c r="D302" s="60" t="s">
        <v>281</v>
      </c>
      <c r="E302" s="79" t="s">
        <v>3753</v>
      </c>
      <c r="F302" s="79" t="s">
        <v>4799</v>
      </c>
      <c r="G302" s="56" t="s">
        <v>2248</v>
      </c>
      <c r="H302" s="56"/>
    </row>
    <row r="303" spans="1:8" x14ac:dyDescent="0.25">
      <c r="A303" s="79"/>
      <c r="B303" s="85" t="s">
        <v>3012</v>
      </c>
      <c r="C303" s="80" t="s">
        <v>3023</v>
      </c>
      <c r="D303" s="60" t="s">
        <v>283</v>
      </c>
      <c r="E303" s="79" t="s">
        <v>3754</v>
      </c>
      <c r="F303" s="79" t="s">
        <v>4799</v>
      </c>
      <c r="G303" s="56" t="s">
        <v>2248</v>
      </c>
      <c r="H303" s="56"/>
    </row>
    <row r="304" spans="1:8" x14ac:dyDescent="0.25">
      <c r="A304" s="79"/>
      <c r="B304" s="85" t="s">
        <v>3012</v>
      </c>
      <c r="C304" s="80" t="s">
        <v>3024</v>
      </c>
      <c r="D304" s="60" t="s">
        <v>285</v>
      </c>
      <c r="E304" s="79" t="s">
        <v>277</v>
      </c>
      <c r="F304" s="79" t="s">
        <v>4799</v>
      </c>
      <c r="G304" s="56" t="s">
        <v>2249</v>
      </c>
      <c r="H304" s="56"/>
    </row>
    <row r="305" spans="1:8" x14ac:dyDescent="0.25">
      <c r="A305" s="79"/>
      <c r="B305" s="85" t="s">
        <v>3012</v>
      </c>
      <c r="C305" s="80" t="s">
        <v>3025</v>
      </c>
      <c r="D305" s="60" t="s">
        <v>2232</v>
      </c>
      <c r="E305" s="79" t="s">
        <v>277</v>
      </c>
      <c r="F305" s="79" t="s">
        <v>4799</v>
      </c>
      <c r="G305" s="56" t="s">
        <v>1897</v>
      </c>
      <c r="H305" s="56"/>
    </row>
    <row r="306" spans="1:8" x14ac:dyDescent="0.25">
      <c r="A306" s="79"/>
      <c r="B306" s="85" t="s">
        <v>3012</v>
      </c>
      <c r="C306" s="80" t="s">
        <v>3026</v>
      </c>
      <c r="D306" s="60" t="s">
        <v>2233</v>
      </c>
      <c r="E306" s="79" t="s">
        <v>277</v>
      </c>
      <c r="F306" s="79" t="s">
        <v>4799</v>
      </c>
      <c r="G306" s="56" t="s">
        <v>1897</v>
      </c>
      <c r="H306" s="56"/>
    </row>
    <row r="307" spans="1:8" x14ac:dyDescent="0.25">
      <c r="A307" s="79"/>
      <c r="B307" s="85" t="s">
        <v>3012</v>
      </c>
      <c r="C307" s="80" t="s">
        <v>3027</v>
      </c>
      <c r="D307" s="60" t="s">
        <v>2234</v>
      </c>
      <c r="E307" s="79" t="s">
        <v>277</v>
      </c>
      <c r="F307" s="79" t="s">
        <v>4799</v>
      </c>
      <c r="G307" s="56" t="s">
        <v>1897</v>
      </c>
      <c r="H307" s="56"/>
    </row>
    <row r="308" spans="1:8" x14ac:dyDescent="0.25">
      <c r="A308" s="79"/>
      <c r="B308" s="85" t="s">
        <v>3012</v>
      </c>
      <c r="C308" s="80" t="s">
        <v>3028</v>
      </c>
      <c r="D308" s="60" t="s">
        <v>2235</v>
      </c>
      <c r="E308" s="191" t="s">
        <v>3755</v>
      </c>
      <c r="F308" s="79" t="s">
        <v>4799</v>
      </c>
      <c r="G308" s="56" t="s">
        <v>2248</v>
      </c>
      <c r="H308" s="56"/>
    </row>
    <row r="309" spans="1:8" x14ac:dyDescent="0.25">
      <c r="A309" s="79"/>
      <c r="B309" s="85" t="s">
        <v>3012</v>
      </c>
      <c r="C309" s="80" t="s">
        <v>3029</v>
      </c>
      <c r="D309" s="60" t="s">
        <v>2236</v>
      </c>
      <c r="E309" s="192" t="s">
        <v>3756</v>
      </c>
      <c r="F309" s="79" t="s">
        <v>4799</v>
      </c>
      <c r="G309" s="56" t="s">
        <v>2248</v>
      </c>
      <c r="H309" s="56"/>
    </row>
    <row r="310" spans="1:8" ht="42.75" x14ac:dyDescent="0.25">
      <c r="A310" s="79"/>
      <c r="B310" s="85" t="s">
        <v>3012</v>
      </c>
      <c r="C310" s="80" t="s">
        <v>3030</v>
      </c>
      <c r="D310" s="60" t="s">
        <v>2237</v>
      </c>
      <c r="E310" s="56" t="s">
        <v>3758</v>
      </c>
      <c r="F310" s="79" t="s">
        <v>4799</v>
      </c>
      <c r="G310" s="56" t="s">
        <v>1900</v>
      </c>
      <c r="H310" s="56"/>
    </row>
    <row r="311" spans="1:8" x14ac:dyDescent="0.25">
      <c r="A311" s="79"/>
      <c r="B311" s="85" t="s">
        <v>3012</v>
      </c>
      <c r="C311" s="80" t="s">
        <v>3031</v>
      </c>
      <c r="D311" s="60" t="s">
        <v>2238</v>
      </c>
      <c r="E311" s="79" t="s">
        <v>3757</v>
      </c>
      <c r="F311" s="79" t="s">
        <v>4799</v>
      </c>
      <c r="G311" s="56" t="s">
        <v>2250</v>
      </c>
      <c r="H311" s="56"/>
    </row>
    <row r="312" spans="1:8" ht="161.1" customHeight="1" x14ac:dyDescent="0.25">
      <c r="A312" s="79"/>
      <c r="B312" s="85" t="s">
        <v>3012</v>
      </c>
      <c r="C312" s="80" t="s">
        <v>3032</v>
      </c>
      <c r="D312" s="60" t="s">
        <v>4723</v>
      </c>
      <c r="E312" s="56" t="s">
        <v>3759</v>
      </c>
      <c r="F312" s="56" t="s">
        <v>4800</v>
      </c>
      <c r="G312" s="56" t="s">
        <v>4832</v>
      </c>
      <c r="H312" s="60" t="s">
        <v>4842</v>
      </c>
    </row>
    <row r="313" spans="1:8" ht="57" x14ac:dyDescent="0.25">
      <c r="A313" s="79"/>
      <c r="B313" s="85" t="s">
        <v>3012</v>
      </c>
      <c r="C313" s="80" t="s">
        <v>3033</v>
      </c>
      <c r="D313" s="60" t="s">
        <v>2239</v>
      </c>
      <c r="E313" s="56" t="s">
        <v>3762</v>
      </c>
      <c r="F313" s="56" t="s">
        <v>4801</v>
      </c>
      <c r="G313" s="56" t="s">
        <v>4832</v>
      </c>
      <c r="H313" s="91"/>
    </row>
    <row r="314" spans="1:8" ht="57" x14ac:dyDescent="0.25">
      <c r="A314" s="79"/>
      <c r="B314" s="85" t="s">
        <v>3012</v>
      </c>
      <c r="C314" s="80" t="s">
        <v>3034</v>
      </c>
      <c r="D314" s="60" t="s">
        <v>2240</v>
      </c>
      <c r="E314" s="56" t="s">
        <v>3762</v>
      </c>
      <c r="F314" s="56" t="s">
        <v>4802</v>
      </c>
      <c r="G314" s="56" t="s">
        <v>4832</v>
      </c>
      <c r="H314" s="91"/>
    </row>
    <row r="315" spans="1:8" x14ac:dyDescent="0.25">
      <c r="A315" s="79"/>
      <c r="B315" s="85" t="s">
        <v>3012</v>
      </c>
      <c r="C315" s="80" t="s">
        <v>3035</v>
      </c>
      <c r="D315" s="60" t="s">
        <v>2241</v>
      </c>
      <c r="E315" s="79" t="s">
        <v>3752</v>
      </c>
      <c r="F315" s="79" t="s">
        <v>4803</v>
      </c>
      <c r="G315" s="56" t="s">
        <v>4832</v>
      </c>
      <c r="H315" s="91"/>
    </row>
    <row r="316" spans="1:8" x14ac:dyDescent="0.25">
      <c r="A316" s="79"/>
      <c r="B316" s="85" t="s">
        <v>3012</v>
      </c>
      <c r="C316" s="80" t="s">
        <v>3036</v>
      </c>
      <c r="D316" s="60" t="s">
        <v>2242</v>
      </c>
      <c r="E316" s="79" t="s">
        <v>3752</v>
      </c>
      <c r="F316" s="79" t="s">
        <v>4803</v>
      </c>
      <c r="G316" s="56" t="s">
        <v>4832</v>
      </c>
      <c r="H316" s="91"/>
    </row>
    <row r="317" spans="1:8" x14ac:dyDescent="0.25">
      <c r="A317" s="79"/>
      <c r="B317" s="85" t="s">
        <v>3012</v>
      </c>
      <c r="C317" s="80" t="s">
        <v>3037</v>
      </c>
      <c r="D317" s="60" t="s">
        <v>2243</v>
      </c>
      <c r="E317" s="79" t="s">
        <v>3752</v>
      </c>
      <c r="F317" s="79" t="s">
        <v>4803</v>
      </c>
      <c r="G317" s="56" t="s">
        <v>4832</v>
      </c>
      <c r="H317" s="91"/>
    </row>
    <row r="318" spans="1:8" x14ac:dyDescent="0.25">
      <c r="A318" s="79"/>
      <c r="B318" s="85" t="s">
        <v>3012</v>
      </c>
      <c r="C318" s="80" t="s">
        <v>3038</v>
      </c>
      <c r="D318" s="60" t="s">
        <v>2244</v>
      </c>
      <c r="E318" s="79" t="s">
        <v>3752</v>
      </c>
      <c r="F318" s="79" t="s">
        <v>4803</v>
      </c>
      <c r="G318" s="56" t="s">
        <v>4832</v>
      </c>
      <c r="H318" s="91"/>
    </row>
    <row r="319" spans="1:8" x14ac:dyDescent="0.25">
      <c r="A319" s="79"/>
      <c r="B319" s="85" t="s">
        <v>3012</v>
      </c>
      <c r="C319" s="80" t="s">
        <v>3039</v>
      </c>
      <c r="D319" s="60" t="s">
        <v>2245</v>
      </c>
      <c r="E319" s="79" t="s">
        <v>3752</v>
      </c>
      <c r="F319" s="79" t="s">
        <v>4803</v>
      </c>
      <c r="G319" s="56" t="s">
        <v>4832</v>
      </c>
      <c r="H319" s="91"/>
    </row>
    <row r="320" spans="1:8" x14ac:dyDescent="0.25">
      <c r="A320" s="79"/>
      <c r="B320" s="85" t="s">
        <v>3012</v>
      </c>
      <c r="C320" s="80" t="s">
        <v>3040</v>
      </c>
      <c r="D320" s="60" t="s">
        <v>2246</v>
      </c>
      <c r="E320" s="86" t="s">
        <v>1903</v>
      </c>
      <c r="F320" s="86" t="s">
        <v>4746</v>
      </c>
      <c r="G320" s="56" t="s">
        <v>4832</v>
      </c>
      <c r="H320" s="91"/>
    </row>
    <row r="321" spans="1:8" ht="28.5" x14ac:dyDescent="0.25">
      <c r="A321" s="79"/>
      <c r="B321" s="85" t="s">
        <v>3012</v>
      </c>
      <c r="C321" s="80" t="s">
        <v>3041</v>
      </c>
      <c r="D321" s="60" t="s">
        <v>4703</v>
      </c>
      <c r="E321" s="56" t="s">
        <v>91</v>
      </c>
      <c r="F321" s="56" t="s">
        <v>4120</v>
      </c>
      <c r="G321" s="56" t="s">
        <v>4832</v>
      </c>
      <c r="H321" s="60" t="s">
        <v>3747</v>
      </c>
    </row>
    <row r="322" spans="1:8" ht="28.5" x14ac:dyDescent="0.25">
      <c r="A322" s="79"/>
      <c r="B322" s="85" t="s">
        <v>3012</v>
      </c>
      <c r="C322" s="80" t="s">
        <v>3042</v>
      </c>
      <c r="D322" s="60" t="s">
        <v>4692</v>
      </c>
      <c r="E322" s="86" t="s">
        <v>1903</v>
      </c>
      <c r="F322" s="86" t="s">
        <v>4746</v>
      </c>
      <c r="G322" s="56" t="s">
        <v>1894</v>
      </c>
      <c r="H322" s="60" t="s">
        <v>3748</v>
      </c>
    </row>
    <row r="323" spans="1:8" ht="28.5" x14ac:dyDescent="0.25">
      <c r="A323" s="79"/>
      <c r="B323" s="85" t="s">
        <v>3012</v>
      </c>
      <c r="C323" s="80" t="s">
        <v>3043</v>
      </c>
      <c r="D323" s="60" t="s">
        <v>4724</v>
      </c>
      <c r="E323" s="79" t="s">
        <v>1906</v>
      </c>
      <c r="F323" s="79" t="s">
        <v>4794</v>
      </c>
      <c r="G323" s="56" t="s">
        <v>1894</v>
      </c>
      <c r="H323" s="60" t="s">
        <v>3749</v>
      </c>
    </row>
    <row r="324" spans="1:8" ht="28.5" x14ac:dyDescent="0.25">
      <c r="A324" s="79"/>
      <c r="B324" s="85" t="s">
        <v>3012</v>
      </c>
      <c r="C324" s="80" t="s">
        <v>3044</v>
      </c>
      <c r="D324" s="60" t="s">
        <v>4725</v>
      </c>
      <c r="E324" s="86" t="s">
        <v>1903</v>
      </c>
      <c r="F324" s="86" t="s">
        <v>4746</v>
      </c>
      <c r="G324" s="56" t="s">
        <v>4833</v>
      </c>
      <c r="H324" s="60" t="s">
        <v>3750</v>
      </c>
    </row>
    <row r="325" spans="1:8" ht="28.5" x14ac:dyDescent="0.25">
      <c r="A325" s="79"/>
      <c r="B325" s="85" t="s">
        <v>3012</v>
      </c>
      <c r="C325" s="80" t="s">
        <v>3045</v>
      </c>
      <c r="D325" s="60" t="s">
        <v>4726</v>
      </c>
      <c r="E325" s="79" t="s">
        <v>1906</v>
      </c>
      <c r="F325" s="79" t="s">
        <v>4794</v>
      </c>
      <c r="G325" s="56" t="s">
        <v>4825</v>
      </c>
      <c r="H325" s="60" t="s">
        <v>3751</v>
      </c>
    </row>
    <row r="326" spans="1:8" ht="28.5" x14ac:dyDescent="0.25">
      <c r="A326" s="79"/>
      <c r="B326" s="85" t="s">
        <v>3012</v>
      </c>
      <c r="C326" s="80" t="s">
        <v>3046</v>
      </c>
      <c r="D326" s="60" t="s">
        <v>4727</v>
      </c>
      <c r="E326" s="56" t="s">
        <v>3761</v>
      </c>
      <c r="F326" s="79" t="s">
        <v>4804</v>
      </c>
      <c r="G326" s="56" t="s">
        <v>1896</v>
      </c>
      <c r="H326" s="91"/>
    </row>
    <row r="327" spans="1:8" ht="28.5" x14ac:dyDescent="0.25">
      <c r="A327" s="79"/>
      <c r="B327" s="85" t="s">
        <v>3012</v>
      </c>
      <c r="C327" s="80" t="s">
        <v>3047</v>
      </c>
      <c r="D327" s="60" t="s">
        <v>4728</v>
      </c>
      <c r="E327" s="56" t="s">
        <v>3767</v>
      </c>
      <c r="F327" s="56" t="s">
        <v>4805</v>
      </c>
      <c r="G327" s="56" t="s">
        <v>4830</v>
      </c>
      <c r="H327" s="91"/>
    </row>
    <row r="328" spans="1:8" ht="171" x14ac:dyDescent="0.25">
      <c r="A328" s="82"/>
      <c r="B328" s="90" t="s">
        <v>3012</v>
      </c>
      <c r="C328" s="193" t="s">
        <v>3048</v>
      </c>
      <c r="D328" s="81" t="s">
        <v>2247</v>
      </c>
      <c r="E328" s="89" t="s">
        <v>3760</v>
      </c>
      <c r="F328" s="89" t="s">
        <v>4806</v>
      </c>
      <c r="G328" s="89" t="s">
        <v>1897</v>
      </c>
      <c r="H328" s="92"/>
    </row>
    <row r="329" spans="1:8" s="53" customFormat="1" ht="15" x14ac:dyDescent="0.25">
      <c r="A329" s="228" t="s">
        <v>2257</v>
      </c>
      <c r="B329" s="228"/>
      <c r="C329" s="228"/>
      <c r="D329" s="228"/>
      <c r="E329" s="228"/>
      <c r="F329" s="228"/>
      <c r="G329" s="228"/>
      <c r="H329" s="228"/>
    </row>
    <row r="330" spans="1:8" x14ac:dyDescent="0.25">
      <c r="A330" s="159"/>
      <c r="B330" s="160" t="s">
        <v>3012</v>
      </c>
      <c r="C330" s="170" t="s">
        <v>3049</v>
      </c>
      <c r="D330" s="171" t="s">
        <v>23</v>
      </c>
      <c r="E330" s="161" t="s">
        <v>24</v>
      </c>
      <c r="F330" s="161" t="s">
        <v>4117</v>
      </c>
      <c r="G330" s="161" t="s">
        <v>1894</v>
      </c>
      <c r="H330" s="161"/>
    </row>
    <row r="331" spans="1:8" x14ac:dyDescent="0.25">
      <c r="A331" s="159"/>
      <c r="B331" s="160" t="s">
        <v>3012</v>
      </c>
      <c r="C331" s="170" t="s">
        <v>3050</v>
      </c>
      <c r="D331" s="172" t="s">
        <v>1787</v>
      </c>
      <c r="E331" s="159" t="s">
        <v>3768</v>
      </c>
      <c r="F331" s="159" t="s">
        <v>4790</v>
      </c>
      <c r="G331" s="161" t="s">
        <v>1894</v>
      </c>
      <c r="H331" s="161"/>
    </row>
    <row r="332" spans="1:8" ht="42.75" x14ac:dyDescent="0.25">
      <c r="A332" s="159"/>
      <c r="B332" s="160" t="s">
        <v>3012</v>
      </c>
      <c r="C332" s="170" t="s">
        <v>3051</v>
      </c>
      <c r="D332" s="173" t="s">
        <v>1788</v>
      </c>
      <c r="E332" s="161" t="s">
        <v>79</v>
      </c>
      <c r="F332" s="161" t="s">
        <v>4745</v>
      </c>
      <c r="G332" s="161" t="s">
        <v>1894</v>
      </c>
      <c r="H332" s="161"/>
    </row>
    <row r="333" spans="1:8" x14ac:dyDescent="0.25">
      <c r="A333" s="159"/>
      <c r="B333" s="160" t="s">
        <v>3012</v>
      </c>
      <c r="C333" s="170" t="s">
        <v>3052</v>
      </c>
      <c r="D333" s="173" t="s">
        <v>1789</v>
      </c>
      <c r="E333" s="163" t="s">
        <v>1903</v>
      </c>
      <c r="F333" s="163" t="s">
        <v>4746</v>
      </c>
      <c r="G333" s="161" t="s">
        <v>1894</v>
      </c>
      <c r="H333" s="161"/>
    </row>
    <row r="334" spans="1:8" x14ac:dyDescent="0.25">
      <c r="A334" s="159"/>
      <c r="B334" s="160" t="s">
        <v>3012</v>
      </c>
      <c r="C334" s="170" t="s">
        <v>3053</v>
      </c>
      <c r="D334" s="173" t="s">
        <v>1791</v>
      </c>
      <c r="E334" s="163" t="s">
        <v>1903</v>
      </c>
      <c r="F334" s="163" t="s">
        <v>4746</v>
      </c>
      <c r="G334" s="161" t="s">
        <v>1894</v>
      </c>
      <c r="H334" s="161"/>
    </row>
    <row r="335" spans="1:8" x14ac:dyDescent="0.25">
      <c r="A335" s="159"/>
      <c r="B335" s="160"/>
      <c r="C335" s="170" t="s">
        <v>3054</v>
      </c>
      <c r="D335" s="174" t="s">
        <v>4729</v>
      </c>
      <c r="E335" s="161" t="s">
        <v>24</v>
      </c>
      <c r="F335" s="161" t="s">
        <v>4117</v>
      </c>
      <c r="G335" s="161" t="s">
        <v>2274</v>
      </c>
      <c r="H335" s="161"/>
    </row>
    <row r="336" spans="1:8" x14ac:dyDescent="0.25">
      <c r="A336" s="159"/>
      <c r="B336" s="160"/>
      <c r="C336" s="170" t="s">
        <v>3054</v>
      </c>
      <c r="D336" s="174" t="s">
        <v>4730</v>
      </c>
      <c r="E336" s="163" t="s">
        <v>1903</v>
      </c>
      <c r="F336" s="163" t="s">
        <v>4746</v>
      </c>
      <c r="G336" s="161" t="s">
        <v>4834</v>
      </c>
      <c r="H336" s="161"/>
    </row>
    <row r="337" spans="1:8" x14ac:dyDescent="0.25">
      <c r="A337" s="159"/>
      <c r="B337" s="160"/>
      <c r="C337" s="170" t="s">
        <v>3055</v>
      </c>
      <c r="D337" s="174" t="s">
        <v>4731</v>
      </c>
      <c r="E337" s="161" t="s">
        <v>24</v>
      </c>
      <c r="F337" s="161" t="s">
        <v>4117</v>
      </c>
      <c r="G337" s="161" t="s">
        <v>4822</v>
      </c>
      <c r="H337" s="161"/>
    </row>
    <row r="338" spans="1:8" x14ac:dyDescent="0.25">
      <c r="A338" s="159"/>
      <c r="B338" s="160"/>
      <c r="C338" s="170" t="s">
        <v>3055</v>
      </c>
      <c r="D338" s="174" t="s">
        <v>4732</v>
      </c>
      <c r="E338" s="163" t="s">
        <v>1903</v>
      </c>
      <c r="F338" s="163" t="s">
        <v>4746</v>
      </c>
      <c r="G338" s="161" t="s">
        <v>1896</v>
      </c>
      <c r="H338" s="161"/>
    </row>
    <row r="339" spans="1:8" x14ac:dyDescent="0.25">
      <c r="A339" s="159"/>
      <c r="B339" s="160"/>
      <c r="C339" s="170" t="s">
        <v>3056</v>
      </c>
      <c r="D339" s="173" t="s">
        <v>1801</v>
      </c>
      <c r="E339" s="163" t="s">
        <v>1903</v>
      </c>
      <c r="F339" s="163" t="s">
        <v>4746</v>
      </c>
      <c r="G339" s="161" t="s">
        <v>4822</v>
      </c>
      <c r="H339" s="161"/>
    </row>
    <row r="340" spans="1:8" x14ac:dyDescent="0.25">
      <c r="A340" s="159"/>
      <c r="B340" s="160"/>
      <c r="C340" s="170" t="s">
        <v>3057</v>
      </c>
      <c r="D340" s="173" t="s">
        <v>2258</v>
      </c>
      <c r="E340" s="159" t="s">
        <v>1906</v>
      </c>
      <c r="F340" s="159" t="s">
        <v>4794</v>
      </c>
      <c r="G340" s="161" t="s">
        <v>1894</v>
      </c>
      <c r="H340" s="161"/>
    </row>
    <row r="341" spans="1:8" x14ac:dyDescent="0.25">
      <c r="A341" s="159"/>
      <c r="B341" s="160"/>
      <c r="C341" s="170" t="s">
        <v>3058</v>
      </c>
      <c r="D341" s="173" t="s">
        <v>1805</v>
      </c>
      <c r="E341" s="163" t="s">
        <v>3117</v>
      </c>
      <c r="F341" s="163" t="s">
        <v>4748</v>
      </c>
      <c r="G341" s="161" t="s">
        <v>4834</v>
      </c>
      <c r="H341" s="161"/>
    </row>
    <row r="342" spans="1:8" x14ac:dyDescent="0.25">
      <c r="A342" s="159"/>
      <c r="B342" s="160"/>
      <c r="C342" s="170" t="s">
        <v>3059</v>
      </c>
      <c r="D342" s="173" t="s">
        <v>1807</v>
      </c>
      <c r="E342" s="163" t="s">
        <v>3117</v>
      </c>
      <c r="F342" s="163" t="s">
        <v>4748</v>
      </c>
      <c r="G342" s="161" t="s">
        <v>1896</v>
      </c>
      <c r="H342" s="161"/>
    </row>
    <row r="343" spans="1:8" x14ac:dyDescent="0.25">
      <c r="A343" s="159"/>
      <c r="B343" s="160"/>
      <c r="C343" s="170" t="s">
        <v>3060</v>
      </c>
      <c r="D343" s="173" t="s">
        <v>1809</v>
      </c>
      <c r="E343" s="159" t="s">
        <v>1908</v>
      </c>
      <c r="F343" s="159" t="s">
        <v>4749</v>
      </c>
      <c r="G343" s="161" t="s">
        <v>1894</v>
      </c>
      <c r="H343" s="161"/>
    </row>
    <row r="344" spans="1:8" x14ac:dyDescent="0.25">
      <c r="A344" s="159"/>
      <c r="B344" s="160"/>
      <c r="C344" s="170" t="s">
        <v>3061</v>
      </c>
      <c r="D344" s="173" t="s">
        <v>1811</v>
      </c>
      <c r="E344" s="159" t="s">
        <v>1907</v>
      </c>
      <c r="F344" s="159" t="s">
        <v>4748</v>
      </c>
      <c r="G344" s="161" t="s">
        <v>1894</v>
      </c>
      <c r="H344" s="161"/>
    </row>
    <row r="345" spans="1:8" ht="28.5" x14ac:dyDescent="0.25">
      <c r="A345" s="159"/>
      <c r="B345" s="160" t="s">
        <v>3012</v>
      </c>
      <c r="C345" s="170" t="s">
        <v>3062</v>
      </c>
      <c r="D345" s="173" t="s">
        <v>2259</v>
      </c>
      <c r="E345" s="161" t="s">
        <v>91</v>
      </c>
      <c r="F345" s="161" t="s">
        <v>4120</v>
      </c>
      <c r="G345" s="161" t="s">
        <v>1894</v>
      </c>
      <c r="H345" s="161"/>
    </row>
    <row r="346" spans="1:8" x14ac:dyDescent="0.25">
      <c r="A346" s="159"/>
      <c r="B346" s="160"/>
      <c r="C346" s="170" t="s">
        <v>3063</v>
      </c>
      <c r="D346" s="170" t="s">
        <v>1821</v>
      </c>
      <c r="E346" s="159"/>
      <c r="F346" s="159"/>
      <c r="G346" s="161" t="s">
        <v>4823</v>
      </c>
      <c r="H346" s="161"/>
    </row>
    <row r="347" spans="1:8" ht="71.25" x14ac:dyDescent="0.25">
      <c r="A347" s="159"/>
      <c r="B347" s="160"/>
      <c r="C347" s="170" t="s">
        <v>3064</v>
      </c>
      <c r="D347" s="170" t="s">
        <v>1823</v>
      </c>
      <c r="E347" s="167" t="s">
        <v>1913</v>
      </c>
      <c r="F347" s="161" t="s">
        <v>4753</v>
      </c>
      <c r="G347" s="161" t="s">
        <v>1897</v>
      </c>
      <c r="H347" s="161"/>
    </row>
    <row r="348" spans="1:8" x14ac:dyDescent="0.25">
      <c r="A348" s="159"/>
      <c r="B348" s="160"/>
      <c r="C348" s="170" t="s">
        <v>3065</v>
      </c>
      <c r="D348" s="170" t="s">
        <v>25</v>
      </c>
      <c r="E348" s="164" t="s">
        <v>1910</v>
      </c>
      <c r="F348" s="161" t="s">
        <v>4751</v>
      </c>
      <c r="G348" s="161" t="s">
        <v>1896</v>
      </c>
      <c r="H348" s="161"/>
    </row>
    <row r="349" spans="1:8" ht="85.5" x14ac:dyDescent="0.25">
      <c r="A349" s="159"/>
      <c r="B349" s="160"/>
      <c r="C349" s="170" t="s">
        <v>3066</v>
      </c>
      <c r="D349" s="173" t="s">
        <v>1826</v>
      </c>
      <c r="E349" s="161" t="s">
        <v>22</v>
      </c>
      <c r="F349" s="161" t="s">
        <v>4754</v>
      </c>
      <c r="G349" s="161" t="s">
        <v>1894</v>
      </c>
      <c r="H349" s="161"/>
    </row>
    <row r="350" spans="1:8" ht="28.5" x14ac:dyDescent="0.25">
      <c r="A350" s="159"/>
      <c r="B350" s="160"/>
      <c r="C350" s="170" t="s">
        <v>3067</v>
      </c>
      <c r="D350" s="170" t="s">
        <v>1828</v>
      </c>
      <c r="E350" s="161" t="s">
        <v>1922</v>
      </c>
      <c r="F350" s="161" t="s">
        <v>4755</v>
      </c>
      <c r="G350" s="161" t="s">
        <v>1894</v>
      </c>
      <c r="H350" s="161"/>
    </row>
    <row r="351" spans="1:8" ht="28.5" x14ac:dyDescent="0.25">
      <c r="A351" s="159"/>
      <c r="B351" s="160"/>
      <c r="C351" s="170" t="s">
        <v>3068</v>
      </c>
      <c r="D351" s="170" t="s">
        <v>2260</v>
      </c>
      <c r="E351" s="161" t="s">
        <v>1922</v>
      </c>
      <c r="F351" s="161" t="s">
        <v>4755</v>
      </c>
      <c r="G351" s="161" t="s">
        <v>1894</v>
      </c>
      <c r="H351" s="161"/>
    </row>
    <row r="352" spans="1:8" ht="42.75" x14ac:dyDescent="0.25">
      <c r="A352" s="159"/>
      <c r="B352" s="160"/>
      <c r="C352" s="170" t="s">
        <v>3069</v>
      </c>
      <c r="D352" s="170" t="s">
        <v>1832</v>
      </c>
      <c r="E352" s="161" t="s">
        <v>1914</v>
      </c>
      <c r="F352" s="161" t="s">
        <v>4756</v>
      </c>
      <c r="G352" s="161" t="s">
        <v>4822</v>
      </c>
      <c r="H352" s="161"/>
    </row>
    <row r="353" spans="1:8" ht="42.75" x14ac:dyDescent="0.25">
      <c r="A353" s="159"/>
      <c r="B353" s="160"/>
      <c r="C353" s="170" t="s">
        <v>3070</v>
      </c>
      <c r="D353" s="170" t="s">
        <v>2261</v>
      </c>
      <c r="E353" s="161" t="s">
        <v>1915</v>
      </c>
      <c r="F353" s="161" t="s">
        <v>4757</v>
      </c>
      <c r="G353" s="161" t="s">
        <v>4822</v>
      </c>
      <c r="H353" s="161"/>
    </row>
    <row r="354" spans="1:8" x14ac:dyDescent="0.25">
      <c r="A354" s="159"/>
      <c r="B354" s="160"/>
      <c r="C354" s="170" t="s">
        <v>3071</v>
      </c>
      <c r="D354" s="170" t="s">
        <v>4733</v>
      </c>
      <c r="E354" s="164" t="s">
        <v>1910</v>
      </c>
      <c r="F354" s="161" t="s">
        <v>4751</v>
      </c>
      <c r="G354" s="161" t="s">
        <v>1894</v>
      </c>
      <c r="H354" s="161"/>
    </row>
    <row r="355" spans="1:8" ht="99.75" x14ac:dyDescent="0.25">
      <c r="A355" s="159"/>
      <c r="B355" s="160"/>
      <c r="C355" s="170" t="s">
        <v>3072</v>
      </c>
      <c r="D355" s="170" t="s">
        <v>4650</v>
      </c>
      <c r="E355" s="161" t="s">
        <v>1916</v>
      </c>
      <c r="F355" s="161" t="s">
        <v>4759</v>
      </c>
      <c r="G355" s="161" t="s">
        <v>1894</v>
      </c>
      <c r="H355" s="161"/>
    </row>
    <row r="356" spans="1:8" ht="57" x14ac:dyDescent="0.25">
      <c r="A356" s="159"/>
      <c r="B356" s="160"/>
      <c r="C356" s="170" t="s">
        <v>3073</v>
      </c>
      <c r="D356" s="170" t="s">
        <v>2262</v>
      </c>
      <c r="E356" s="167" t="s">
        <v>1917</v>
      </c>
      <c r="F356" s="161" t="s">
        <v>4760</v>
      </c>
      <c r="G356" s="161" t="s">
        <v>4825</v>
      </c>
      <c r="H356" s="161"/>
    </row>
    <row r="357" spans="1:8" ht="28.5" x14ac:dyDescent="0.25">
      <c r="A357" s="159"/>
      <c r="B357" s="160"/>
      <c r="C357" s="170" t="s">
        <v>3074</v>
      </c>
      <c r="D357" s="170" t="s">
        <v>4651</v>
      </c>
      <c r="E357" s="167" t="s">
        <v>1919</v>
      </c>
      <c r="F357" s="161" t="s">
        <v>4761</v>
      </c>
      <c r="G357" s="161" t="s">
        <v>1894</v>
      </c>
      <c r="H357" s="161"/>
    </row>
    <row r="358" spans="1:8" x14ac:dyDescent="0.25">
      <c r="A358" s="159"/>
      <c r="B358" s="160"/>
      <c r="C358" s="170" t="s">
        <v>3075</v>
      </c>
      <c r="D358" s="170" t="s">
        <v>4734</v>
      </c>
      <c r="E358" s="161" t="s">
        <v>1924</v>
      </c>
      <c r="F358" s="161" t="s">
        <v>4765</v>
      </c>
      <c r="G358" s="161" t="s">
        <v>1898</v>
      </c>
      <c r="H358" s="161"/>
    </row>
    <row r="359" spans="1:8" ht="85.5" x14ac:dyDescent="0.25">
      <c r="A359" s="159"/>
      <c r="B359" s="160"/>
      <c r="C359" s="170" t="s">
        <v>3076</v>
      </c>
      <c r="D359" s="170" t="s">
        <v>4735</v>
      </c>
      <c r="E359" s="161" t="s">
        <v>1913</v>
      </c>
      <c r="F359" s="161" t="s">
        <v>4776</v>
      </c>
      <c r="G359" s="161" t="s">
        <v>1898</v>
      </c>
      <c r="H359" s="161"/>
    </row>
    <row r="360" spans="1:8" x14ac:dyDescent="0.25">
      <c r="A360" s="159"/>
      <c r="B360" s="160"/>
      <c r="C360" s="170" t="s">
        <v>3077</v>
      </c>
      <c r="D360" s="170" t="s">
        <v>4736</v>
      </c>
      <c r="E360" s="161" t="s">
        <v>1924</v>
      </c>
      <c r="F360" s="161" t="s">
        <v>4765</v>
      </c>
      <c r="G360" s="161" t="s">
        <v>1899</v>
      </c>
      <c r="H360" s="161"/>
    </row>
    <row r="361" spans="1:8" ht="85.5" x14ac:dyDescent="0.25">
      <c r="A361" s="159"/>
      <c r="B361" s="160"/>
      <c r="C361" s="170" t="s">
        <v>3078</v>
      </c>
      <c r="D361" s="170" t="s">
        <v>4737</v>
      </c>
      <c r="E361" s="161" t="s">
        <v>1913</v>
      </c>
      <c r="F361" s="161" t="s">
        <v>4776</v>
      </c>
      <c r="G361" s="161" t="s">
        <v>1899</v>
      </c>
      <c r="H361" s="161"/>
    </row>
    <row r="362" spans="1:8" x14ac:dyDescent="0.25">
      <c r="A362" s="159"/>
      <c r="B362" s="160"/>
      <c r="C362" s="170" t="s">
        <v>3079</v>
      </c>
      <c r="D362" s="170" t="s">
        <v>4656</v>
      </c>
      <c r="E362" s="161" t="s">
        <v>1924</v>
      </c>
      <c r="F362" s="161" t="s">
        <v>4765</v>
      </c>
      <c r="G362" s="161" t="s">
        <v>4825</v>
      </c>
      <c r="H362" s="161"/>
    </row>
    <row r="363" spans="1:8" x14ac:dyDescent="0.25">
      <c r="A363" s="159"/>
      <c r="B363" s="160"/>
      <c r="C363" s="170" t="s">
        <v>3080</v>
      </c>
      <c r="D363" s="170" t="s">
        <v>4738</v>
      </c>
      <c r="E363" s="164" t="s">
        <v>1910</v>
      </c>
      <c r="F363" s="161" t="s">
        <v>4751</v>
      </c>
      <c r="G363" s="161" t="s">
        <v>1897</v>
      </c>
      <c r="H363" s="161"/>
    </row>
    <row r="364" spans="1:8" x14ac:dyDescent="0.25">
      <c r="A364" s="159"/>
      <c r="B364" s="160"/>
      <c r="C364" s="170" t="s">
        <v>3081</v>
      </c>
      <c r="D364" s="170" t="s">
        <v>1854</v>
      </c>
      <c r="E364" s="163" t="s">
        <v>1903</v>
      </c>
      <c r="F364" s="163" t="s">
        <v>4746</v>
      </c>
      <c r="G364" s="161" t="s">
        <v>4826</v>
      </c>
      <c r="H364" s="161"/>
    </row>
    <row r="365" spans="1:8" ht="28.5" x14ac:dyDescent="0.25">
      <c r="A365" s="159"/>
      <c r="B365" s="160"/>
      <c r="C365" s="170" t="s">
        <v>3082</v>
      </c>
      <c r="D365" s="170" t="s">
        <v>1856</v>
      </c>
      <c r="E365" s="166" t="s">
        <v>1923</v>
      </c>
      <c r="F365" s="161" t="s">
        <v>4758</v>
      </c>
      <c r="G365" s="161" t="s">
        <v>4826</v>
      </c>
      <c r="H365" s="161"/>
    </row>
    <row r="366" spans="1:8" x14ac:dyDescent="0.25">
      <c r="A366" s="159"/>
      <c r="B366" s="160"/>
      <c r="C366" s="170" t="s">
        <v>3083</v>
      </c>
      <c r="D366" s="170" t="s">
        <v>2263</v>
      </c>
      <c r="E366" s="161" t="s">
        <v>1926</v>
      </c>
      <c r="F366" s="161" t="s">
        <v>4766</v>
      </c>
      <c r="G366" s="161" t="s">
        <v>2275</v>
      </c>
      <c r="H366" s="161"/>
    </row>
    <row r="367" spans="1:8" x14ac:dyDescent="0.25">
      <c r="A367" s="159"/>
      <c r="B367" s="160"/>
      <c r="C367" s="170" t="s">
        <v>3084</v>
      </c>
      <c r="D367" s="170" t="s">
        <v>1858</v>
      </c>
      <c r="E367" s="161" t="s">
        <v>1926</v>
      </c>
      <c r="F367" s="161" t="s">
        <v>4766</v>
      </c>
      <c r="G367" s="161" t="s">
        <v>2275</v>
      </c>
      <c r="H367" s="161"/>
    </row>
    <row r="368" spans="1:8" x14ac:dyDescent="0.25">
      <c r="A368" s="159"/>
      <c r="B368" s="160"/>
      <c r="C368" s="170" t="s">
        <v>3085</v>
      </c>
      <c r="D368" s="170" t="s">
        <v>1860</v>
      </c>
      <c r="E368" s="163" t="s">
        <v>1909</v>
      </c>
      <c r="F368" s="159" t="s">
        <v>4807</v>
      </c>
      <c r="G368" s="161" t="s">
        <v>4822</v>
      </c>
      <c r="H368" s="161"/>
    </row>
    <row r="369" spans="1:8" x14ac:dyDescent="0.25">
      <c r="A369" s="159"/>
      <c r="B369" s="160"/>
      <c r="C369" s="170" t="s">
        <v>3086</v>
      </c>
      <c r="D369" s="170" t="s">
        <v>1862</v>
      </c>
      <c r="E369" s="163" t="s">
        <v>1908</v>
      </c>
      <c r="F369" s="159" t="s">
        <v>4749</v>
      </c>
      <c r="G369" s="161" t="s">
        <v>4822</v>
      </c>
      <c r="H369" s="161"/>
    </row>
    <row r="370" spans="1:8" ht="42.75" x14ac:dyDescent="0.25">
      <c r="A370" s="159"/>
      <c r="B370" s="160"/>
      <c r="C370" s="170" t="s">
        <v>3087</v>
      </c>
      <c r="D370" s="170" t="s">
        <v>1864</v>
      </c>
      <c r="E370" s="161" t="s">
        <v>1927</v>
      </c>
      <c r="F370" s="161" t="s">
        <v>4767</v>
      </c>
      <c r="G370" s="161" t="s">
        <v>4825</v>
      </c>
      <c r="H370" s="161"/>
    </row>
    <row r="371" spans="1:8" ht="142.5" x14ac:dyDescent="0.25">
      <c r="A371" s="159"/>
      <c r="B371" s="160"/>
      <c r="C371" s="170" t="s">
        <v>3088</v>
      </c>
      <c r="D371" s="170" t="s">
        <v>1866</v>
      </c>
      <c r="E371" s="161" t="s">
        <v>1929</v>
      </c>
      <c r="F371" s="161" t="s">
        <v>4768</v>
      </c>
      <c r="G371" s="161" t="s">
        <v>1896</v>
      </c>
      <c r="H371" s="161"/>
    </row>
    <row r="372" spans="1:8" ht="142.5" x14ac:dyDescent="0.25">
      <c r="A372" s="159"/>
      <c r="B372" s="160"/>
      <c r="C372" s="170" t="s">
        <v>3089</v>
      </c>
      <c r="D372" s="170" t="s">
        <v>1868</v>
      </c>
      <c r="E372" s="161" t="s">
        <v>1929</v>
      </c>
      <c r="F372" s="161" t="s">
        <v>4768</v>
      </c>
      <c r="G372" s="161" t="s">
        <v>1896</v>
      </c>
      <c r="H372" s="161"/>
    </row>
    <row r="373" spans="1:8" ht="142.5" x14ac:dyDescent="0.25">
      <c r="A373" s="159"/>
      <c r="B373" s="160"/>
      <c r="C373" s="170" t="s">
        <v>3090</v>
      </c>
      <c r="D373" s="170" t="s">
        <v>1870</v>
      </c>
      <c r="E373" s="161" t="s">
        <v>1929</v>
      </c>
      <c r="F373" s="161" t="s">
        <v>4768</v>
      </c>
      <c r="G373" s="161" t="s">
        <v>1896</v>
      </c>
      <c r="H373" s="161"/>
    </row>
    <row r="374" spans="1:8" ht="142.5" x14ac:dyDescent="0.25">
      <c r="A374" s="159"/>
      <c r="B374" s="160"/>
      <c r="C374" s="170" t="s">
        <v>3091</v>
      </c>
      <c r="D374" s="170" t="s">
        <v>1872</v>
      </c>
      <c r="E374" s="161" t="s">
        <v>1929</v>
      </c>
      <c r="F374" s="161" t="s">
        <v>4768</v>
      </c>
      <c r="G374" s="161" t="s">
        <v>1896</v>
      </c>
      <c r="H374" s="161"/>
    </row>
    <row r="375" spans="1:8" ht="28.5" x14ac:dyDescent="0.25">
      <c r="A375" s="159"/>
      <c r="B375" s="160"/>
      <c r="C375" s="170" t="s">
        <v>3092</v>
      </c>
      <c r="D375" s="170" t="s">
        <v>1873</v>
      </c>
      <c r="E375" s="161" t="s">
        <v>89</v>
      </c>
      <c r="F375" s="161" t="s">
        <v>4769</v>
      </c>
      <c r="G375" s="161" t="s">
        <v>1901</v>
      </c>
      <c r="H375" s="161"/>
    </row>
    <row r="376" spans="1:8" ht="28.5" x14ac:dyDescent="0.25">
      <c r="A376" s="159"/>
      <c r="B376" s="160"/>
      <c r="C376" s="170" t="s">
        <v>3093</v>
      </c>
      <c r="D376" s="170" t="s">
        <v>2264</v>
      </c>
      <c r="E376" s="161" t="s">
        <v>89</v>
      </c>
      <c r="F376" s="161" t="s">
        <v>4769</v>
      </c>
      <c r="G376" s="161" t="s">
        <v>1896</v>
      </c>
      <c r="H376" s="161"/>
    </row>
    <row r="377" spans="1:8" ht="28.5" x14ac:dyDescent="0.25">
      <c r="A377" s="159"/>
      <c r="B377" s="160"/>
      <c r="C377" s="170" t="s">
        <v>3094</v>
      </c>
      <c r="D377" s="170" t="s">
        <v>2265</v>
      </c>
      <c r="E377" s="161" t="s">
        <v>89</v>
      </c>
      <c r="F377" s="161" t="s">
        <v>4769</v>
      </c>
      <c r="G377" s="161" t="s">
        <v>1896</v>
      </c>
      <c r="H377" s="161"/>
    </row>
    <row r="378" spans="1:8" ht="28.5" x14ac:dyDescent="0.25">
      <c r="A378" s="159"/>
      <c r="B378" s="160"/>
      <c r="C378" s="170" t="s">
        <v>3095</v>
      </c>
      <c r="D378" s="172" t="s">
        <v>4843</v>
      </c>
      <c r="E378" s="161" t="s">
        <v>89</v>
      </c>
      <c r="F378" s="161" t="s">
        <v>4769</v>
      </c>
      <c r="G378" s="161" t="s">
        <v>1896</v>
      </c>
      <c r="H378" s="161"/>
    </row>
    <row r="379" spans="1:8" ht="28.5" x14ac:dyDescent="0.25">
      <c r="A379" s="159"/>
      <c r="B379" s="160"/>
      <c r="C379" s="170" t="s">
        <v>3096</v>
      </c>
      <c r="D379" s="172" t="s">
        <v>4844</v>
      </c>
      <c r="E379" s="161" t="s">
        <v>89</v>
      </c>
      <c r="F379" s="161" t="s">
        <v>4769</v>
      </c>
      <c r="G379" s="161" t="s">
        <v>1896</v>
      </c>
      <c r="H379" s="161"/>
    </row>
    <row r="380" spans="1:8" ht="28.5" x14ac:dyDescent="0.25">
      <c r="A380" s="159"/>
      <c r="B380" s="160"/>
      <c r="C380" s="170" t="s">
        <v>3097</v>
      </c>
      <c r="D380" s="172" t="s">
        <v>1883</v>
      </c>
      <c r="E380" s="161" t="s">
        <v>89</v>
      </c>
      <c r="F380" s="161" t="s">
        <v>4769</v>
      </c>
      <c r="G380" s="161" t="s">
        <v>1896</v>
      </c>
      <c r="H380" s="161"/>
    </row>
    <row r="381" spans="1:8" ht="28.5" x14ac:dyDescent="0.25">
      <c r="A381" s="159"/>
      <c r="B381" s="160"/>
      <c r="C381" s="170" t="s">
        <v>3098</v>
      </c>
      <c r="D381" s="170" t="s">
        <v>1885</v>
      </c>
      <c r="E381" s="161" t="s">
        <v>89</v>
      </c>
      <c r="F381" s="161" t="s">
        <v>4769</v>
      </c>
      <c r="G381" s="161" t="s">
        <v>4826</v>
      </c>
      <c r="H381" s="161"/>
    </row>
    <row r="382" spans="1:8" ht="28.5" x14ac:dyDescent="0.25">
      <c r="A382" s="159"/>
      <c r="B382" s="160"/>
      <c r="C382" s="170" t="s">
        <v>3099</v>
      </c>
      <c r="D382" s="170" t="s">
        <v>4739</v>
      </c>
      <c r="E382" s="161" t="s">
        <v>89</v>
      </c>
      <c r="F382" s="161" t="s">
        <v>4769</v>
      </c>
      <c r="G382" s="161" t="s">
        <v>1896</v>
      </c>
      <c r="H382" s="161"/>
    </row>
    <row r="383" spans="1:8" ht="85.5" x14ac:dyDescent="0.25">
      <c r="A383" s="159"/>
      <c r="B383" s="160"/>
      <c r="C383" s="170" t="s">
        <v>3100</v>
      </c>
      <c r="D383" s="170" t="s">
        <v>2266</v>
      </c>
      <c r="E383" s="161" t="s">
        <v>1930</v>
      </c>
      <c r="F383" s="161" t="s">
        <v>4770</v>
      </c>
      <c r="G383" s="161" t="s">
        <v>1902</v>
      </c>
      <c r="H383" s="161"/>
    </row>
    <row r="384" spans="1:8" x14ac:dyDescent="0.25">
      <c r="A384" s="159"/>
      <c r="B384" s="160"/>
      <c r="C384" s="170" t="s">
        <v>3101</v>
      </c>
      <c r="D384" s="170" t="s">
        <v>1889</v>
      </c>
      <c r="E384" s="163" t="s">
        <v>1907</v>
      </c>
      <c r="F384" s="161" t="s">
        <v>4748</v>
      </c>
      <c r="G384" s="161" t="s">
        <v>4822</v>
      </c>
      <c r="H384" s="161"/>
    </row>
    <row r="385" spans="1:8" x14ac:dyDescent="0.25">
      <c r="A385" s="159"/>
      <c r="B385" s="160"/>
      <c r="C385" s="170" t="s">
        <v>3102</v>
      </c>
      <c r="D385" s="170" t="s">
        <v>1891</v>
      </c>
      <c r="E385" s="163" t="s">
        <v>1907</v>
      </c>
      <c r="F385" s="161" t="s">
        <v>4748</v>
      </c>
      <c r="G385" s="161" t="s">
        <v>4822</v>
      </c>
      <c r="H385" s="161"/>
    </row>
    <row r="386" spans="1:8" x14ac:dyDescent="0.25">
      <c r="A386" s="159"/>
      <c r="B386" s="160" t="s">
        <v>3012</v>
      </c>
      <c r="C386" s="170" t="s">
        <v>3103</v>
      </c>
      <c r="D386" s="172" t="s">
        <v>2241</v>
      </c>
      <c r="E386" s="159" t="s">
        <v>3752</v>
      </c>
      <c r="F386" s="159" t="s">
        <v>4803</v>
      </c>
      <c r="G386" s="161" t="s">
        <v>4832</v>
      </c>
      <c r="H386" s="161"/>
    </row>
    <row r="387" spans="1:8" x14ac:dyDescent="0.25">
      <c r="A387" s="159"/>
      <c r="B387" s="160" t="s">
        <v>3012</v>
      </c>
      <c r="C387" s="170" t="s">
        <v>3104</v>
      </c>
      <c r="D387" s="172" t="s">
        <v>2242</v>
      </c>
      <c r="E387" s="159" t="s">
        <v>3752</v>
      </c>
      <c r="F387" s="159" t="s">
        <v>4808</v>
      </c>
      <c r="G387" s="161" t="s">
        <v>4832</v>
      </c>
      <c r="H387" s="161"/>
    </row>
    <row r="388" spans="1:8" x14ac:dyDescent="0.25">
      <c r="A388" s="159"/>
      <c r="B388" s="160" t="s">
        <v>3012</v>
      </c>
      <c r="C388" s="170" t="s">
        <v>3105</v>
      </c>
      <c r="D388" s="172" t="s">
        <v>2243</v>
      </c>
      <c r="E388" s="159" t="s">
        <v>3752</v>
      </c>
      <c r="F388" s="159" t="s">
        <v>4809</v>
      </c>
      <c r="G388" s="161" t="s">
        <v>4832</v>
      </c>
      <c r="H388" s="161"/>
    </row>
    <row r="389" spans="1:8" x14ac:dyDescent="0.25">
      <c r="A389" s="159"/>
      <c r="B389" s="160" t="s">
        <v>3012</v>
      </c>
      <c r="C389" s="170" t="s">
        <v>3106</v>
      </c>
      <c r="D389" s="172" t="s">
        <v>2244</v>
      </c>
      <c r="E389" s="159" t="s">
        <v>3752</v>
      </c>
      <c r="F389" s="159" t="s">
        <v>4810</v>
      </c>
      <c r="G389" s="161" t="s">
        <v>4832</v>
      </c>
      <c r="H389" s="161"/>
    </row>
    <row r="390" spans="1:8" x14ac:dyDescent="0.25">
      <c r="A390" s="159"/>
      <c r="B390" s="160" t="s">
        <v>3012</v>
      </c>
      <c r="C390" s="170" t="s">
        <v>3107</v>
      </c>
      <c r="D390" s="172" t="s">
        <v>2267</v>
      </c>
      <c r="E390" s="159" t="s">
        <v>3752</v>
      </c>
      <c r="F390" s="159" t="s">
        <v>4811</v>
      </c>
      <c r="G390" s="161" t="s">
        <v>4832</v>
      </c>
      <c r="H390" s="161"/>
    </row>
    <row r="391" spans="1:8" ht="156.75" x14ac:dyDescent="0.25">
      <c r="A391" s="159"/>
      <c r="B391" s="160" t="s">
        <v>3012</v>
      </c>
      <c r="C391" s="170" t="s">
        <v>3108</v>
      </c>
      <c r="D391" s="172" t="s">
        <v>2268</v>
      </c>
      <c r="E391" s="161" t="s">
        <v>3759</v>
      </c>
      <c r="F391" s="161" t="s">
        <v>4800</v>
      </c>
      <c r="G391" s="161" t="s">
        <v>4832</v>
      </c>
      <c r="H391" s="161"/>
    </row>
    <row r="392" spans="1:8" ht="57" x14ac:dyDescent="0.25">
      <c r="A392" s="159"/>
      <c r="B392" s="160" t="s">
        <v>3012</v>
      </c>
      <c r="C392" s="170" t="s">
        <v>3109</v>
      </c>
      <c r="D392" s="172" t="s">
        <v>2240</v>
      </c>
      <c r="E392" s="161" t="s">
        <v>3762</v>
      </c>
      <c r="F392" s="161" t="s">
        <v>4801</v>
      </c>
      <c r="G392" s="161" t="s">
        <v>4832</v>
      </c>
      <c r="H392" s="161"/>
    </row>
    <row r="393" spans="1:8" ht="71.25" x14ac:dyDescent="0.25">
      <c r="A393" s="159"/>
      <c r="B393" s="160" t="s">
        <v>3012</v>
      </c>
      <c r="C393" s="170" t="s">
        <v>3110</v>
      </c>
      <c r="D393" s="172" t="s">
        <v>4740</v>
      </c>
      <c r="E393" s="161" t="s">
        <v>3772</v>
      </c>
      <c r="F393" s="161" t="s">
        <v>4812</v>
      </c>
      <c r="G393" s="161" t="s">
        <v>4832</v>
      </c>
      <c r="H393" s="161"/>
    </row>
    <row r="394" spans="1:8" ht="71.25" x14ac:dyDescent="0.25">
      <c r="A394" s="159"/>
      <c r="B394" s="160" t="s">
        <v>3012</v>
      </c>
      <c r="C394" s="170" t="s">
        <v>3111</v>
      </c>
      <c r="D394" s="172" t="s">
        <v>4741</v>
      </c>
      <c r="E394" s="161" t="s">
        <v>3772</v>
      </c>
      <c r="F394" s="161" t="s">
        <v>4813</v>
      </c>
      <c r="G394" s="161" t="s">
        <v>4832</v>
      </c>
      <c r="H394" s="161"/>
    </row>
    <row r="395" spans="1:8" ht="71.25" x14ac:dyDescent="0.25">
      <c r="A395" s="159"/>
      <c r="B395" s="160" t="s">
        <v>3012</v>
      </c>
      <c r="C395" s="170" t="s">
        <v>3112</v>
      </c>
      <c r="D395" s="172" t="s">
        <v>4742</v>
      </c>
      <c r="E395" s="161" t="s">
        <v>3772</v>
      </c>
      <c r="F395" s="161" t="s">
        <v>4813</v>
      </c>
      <c r="G395" s="161" t="s">
        <v>4832</v>
      </c>
      <c r="H395" s="161"/>
    </row>
    <row r="396" spans="1:8" ht="71.25" x14ac:dyDescent="0.25">
      <c r="A396" s="159"/>
      <c r="B396" s="160" t="s">
        <v>3012</v>
      </c>
      <c r="C396" s="170" t="s">
        <v>3113</v>
      </c>
      <c r="D396" s="172" t="s">
        <v>4743</v>
      </c>
      <c r="E396" s="161" t="s">
        <v>3772</v>
      </c>
      <c r="F396" s="161" t="s">
        <v>4813</v>
      </c>
      <c r="G396" s="161" t="s">
        <v>4832</v>
      </c>
      <c r="H396" s="161"/>
    </row>
    <row r="397" spans="1:8" ht="71.25" x14ac:dyDescent="0.25">
      <c r="A397" s="159"/>
      <c r="B397" s="160" t="s">
        <v>3012</v>
      </c>
      <c r="C397" s="170" t="s">
        <v>3114</v>
      </c>
      <c r="D397" s="172" t="s">
        <v>4744</v>
      </c>
      <c r="E397" s="161" t="s">
        <v>3772</v>
      </c>
      <c r="F397" s="161" t="s">
        <v>4813</v>
      </c>
      <c r="G397" s="161" t="s">
        <v>4832</v>
      </c>
      <c r="H397" s="161"/>
    </row>
    <row r="398" spans="1:8" x14ac:dyDescent="0.25">
      <c r="A398" s="159"/>
      <c r="B398" s="160" t="s">
        <v>3012</v>
      </c>
      <c r="C398" s="170" t="s">
        <v>3115</v>
      </c>
      <c r="D398" s="172" t="s">
        <v>265</v>
      </c>
      <c r="E398" s="159" t="s">
        <v>3753</v>
      </c>
      <c r="F398" s="159" t="s">
        <v>4799</v>
      </c>
      <c r="G398" s="161" t="s">
        <v>2248</v>
      </c>
      <c r="H398" s="161"/>
    </row>
    <row r="399" spans="1:8" x14ac:dyDescent="0.25">
      <c r="A399" s="159"/>
      <c r="B399" s="160" t="s">
        <v>3012</v>
      </c>
      <c r="C399" s="170" t="s">
        <v>3116</v>
      </c>
      <c r="D399" s="172" t="s">
        <v>269</v>
      </c>
      <c r="E399" s="159" t="s">
        <v>3754</v>
      </c>
      <c r="F399" s="159" t="s">
        <v>4814</v>
      </c>
      <c r="G399" s="161" t="s">
        <v>2248</v>
      </c>
      <c r="H399" s="161"/>
    </row>
    <row r="400" spans="1:8" x14ac:dyDescent="0.25">
      <c r="A400" s="159"/>
      <c r="B400" s="160" t="s">
        <v>3012</v>
      </c>
      <c r="C400" s="170" t="s">
        <v>3025</v>
      </c>
      <c r="D400" s="172" t="s">
        <v>2232</v>
      </c>
      <c r="E400" s="159" t="s">
        <v>277</v>
      </c>
      <c r="F400" s="159" t="s">
        <v>4815</v>
      </c>
      <c r="G400" s="161" t="s">
        <v>2248</v>
      </c>
      <c r="H400" s="161"/>
    </row>
    <row r="401" spans="1:8" x14ac:dyDescent="0.25">
      <c r="A401" s="159"/>
      <c r="B401" s="160" t="s">
        <v>3012</v>
      </c>
      <c r="C401" s="170" t="s">
        <v>3026</v>
      </c>
      <c r="D401" s="172" t="s">
        <v>2233</v>
      </c>
      <c r="E401" s="159" t="s">
        <v>277</v>
      </c>
      <c r="F401" s="159" t="s">
        <v>4808</v>
      </c>
      <c r="G401" s="161" t="s">
        <v>2249</v>
      </c>
      <c r="H401" s="161"/>
    </row>
    <row r="402" spans="1:8" x14ac:dyDescent="0.25">
      <c r="A402" s="159"/>
      <c r="B402" s="160" t="s">
        <v>3012</v>
      </c>
      <c r="C402" s="170" t="s">
        <v>3027</v>
      </c>
      <c r="D402" s="172" t="s">
        <v>2234</v>
      </c>
      <c r="E402" s="159" t="s">
        <v>277</v>
      </c>
      <c r="F402" s="159" t="s">
        <v>4809</v>
      </c>
      <c r="G402" s="161" t="s">
        <v>2249</v>
      </c>
      <c r="H402" s="161"/>
    </row>
    <row r="403" spans="1:8" x14ac:dyDescent="0.25">
      <c r="A403" s="159"/>
      <c r="B403" s="160" t="s">
        <v>3012</v>
      </c>
      <c r="C403" s="170" t="s">
        <v>3019</v>
      </c>
      <c r="D403" s="172" t="s">
        <v>2269</v>
      </c>
      <c r="E403" s="159" t="s">
        <v>3753</v>
      </c>
      <c r="F403" s="159" t="s">
        <v>4810</v>
      </c>
      <c r="G403" s="161" t="s">
        <v>2248</v>
      </c>
      <c r="H403" s="161"/>
    </row>
    <row r="404" spans="1:8" x14ac:dyDescent="0.25">
      <c r="A404" s="159"/>
      <c r="B404" s="160" t="s">
        <v>3012</v>
      </c>
      <c r="C404" s="170" t="s">
        <v>3022</v>
      </c>
      <c r="D404" s="172" t="s">
        <v>2270</v>
      </c>
      <c r="E404" s="159" t="s">
        <v>3753</v>
      </c>
      <c r="F404" s="159" t="s">
        <v>4811</v>
      </c>
      <c r="G404" s="161" t="s">
        <v>2248</v>
      </c>
      <c r="H404" s="161"/>
    </row>
    <row r="405" spans="1:8" x14ac:dyDescent="0.25">
      <c r="A405" s="159"/>
      <c r="B405" s="160" t="s">
        <v>3012</v>
      </c>
      <c r="C405" s="170" t="s">
        <v>3028</v>
      </c>
      <c r="D405" s="172" t="s">
        <v>2271</v>
      </c>
      <c r="E405" s="194" t="s">
        <v>3755</v>
      </c>
      <c r="F405" s="159" t="s">
        <v>4816</v>
      </c>
      <c r="G405" s="161" t="s">
        <v>2276</v>
      </c>
      <c r="H405" s="161"/>
    </row>
    <row r="406" spans="1:8" x14ac:dyDescent="0.25">
      <c r="A406" s="159"/>
      <c r="B406" s="160" t="s">
        <v>3012</v>
      </c>
      <c r="C406" s="170" t="s">
        <v>3029</v>
      </c>
      <c r="D406" s="172" t="s">
        <v>2272</v>
      </c>
      <c r="E406" s="195" t="s">
        <v>3756</v>
      </c>
      <c r="F406" s="159" t="s">
        <v>4817</v>
      </c>
      <c r="G406" s="161" t="s">
        <v>2276</v>
      </c>
      <c r="H406" s="161"/>
    </row>
    <row r="407" spans="1:8" ht="42.75" x14ac:dyDescent="0.25">
      <c r="A407" s="159"/>
      <c r="B407" s="160" t="s">
        <v>3012</v>
      </c>
      <c r="C407" s="170" t="s">
        <v>3030</v>
      </c>
      <c r="D407" s="172" t="s">
        <v>2273</v>
      </c>
      <c r="E407" s="161" t="s">
        <v>3758</v>
      </c>
      <c r="F407" s="159" t="s">
        <v>4818</v>
      </c>
      <c r="G407" s="161" t="s">
        <v>2276</v>
      </c>
      <c r="H407" s="161"/>
    </row>
    <row r="408" spans="1:8" x14ac:dyDescent="0.25">
      <c r="A408" s="159"/>
      <c r="B408" s="160" t="s">
        <v>3012</v>
      </c>
      <c r="C408" s="170" t="s">
        <v>3031</v>
      </c>
      <c r="D408" s="172" t="s">
        <v>2238</v>
      </c>
      <c r="E408" s="159" t="s">
        <v>3757</v>
      </c>
      <c r="F408" s="159" t="s">
        <v>4819</v>
      </c>
      <c r="G408" s="161" t="s">
        <v>2250</v>
      </c>
      <c r="H408" s="161"/>
    </row>
  </sheetData>
  <mergeCells count="4">
    <mergeCell ref="A329:H329"/>
    <mergeCell ref="A11:H11"/>
    <mergeCell ref="A146:H146"/>
    <mergeCell ref="A235:H235"/>
  </mergeCells>
  <hyperlinks>
    <hyperlink ref="B4" location="BEVNAT!A11" display="naissances vivantes" xr:uid="{00000000-0004-0000-0500-000000000000}"/>
    <hyperlink ref="B5" location="BEVNAT!A72" display="mariage" xr:uid="{00000000-0004-0000-0500-000001000000}"/>
    <hyperlink ref="B6" location="BEVNAT!A146" display="divorces" xr:uid="{00000000-0004-0000-0500-000002000000}"/>
    <hyperlink ref="B7" location="BEVNAT!A235" display="décès" xr:uid="{00000000-0004-0000-0500-000003000000}"/>
    <hyperlink ref="B8" location="BEVNAT!A329" display="Mortinaissances" xr:uid="{00000000-0004-0000-0500-000004000000}"/>
    <hyperlink ref="D1" location="'Overview SNC'!A1" display="Retour vers Overview" xr:uid="{00000000-0004-0000-0500-000005000000}"/>
  </hyperlinks>
  <pageMargins left="0.7" right="0.7" top="0.75" bottom="0.75" header="0.3" footer="0.3"/>
  <pageSetup orientation="portrait" r:id="rId1"/>
  <ignoredErrors>
    <ignoredError sqref="E308 E311"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sheetPr>
  <dimension ref="A1:F1008"/>
  <sheetViews>
    <sheetView topLeftCell="A400" workbookViewId="0">
      <selection activeCell="D324" sqref="D324"/>
    </sheetView>
  </sheetViews>
  <sheetFormatPr baseColWidth="10" defaultColWidth="11.125" defaultRowHeight="14.25" x14ac:dyDescent="0.2"/>
  <cols>
    <col min="1" max="1" width="24.625" style="95" customWidth="1"/>
    <col min="2" max="2" width="11.125" style="98"/>
    <col min="3" max="3" width="15" style="95" customWidth="1"/>
    <col min="4" max="4" width="85.875" style="95" bestFit="1" customWidth="1"/>
    <col min="5" max="5" width="39.625" style="95" bestFit="1" customWidth="1"/>
    <col min="6" max="6" width="14.875" style="95" bestFit="1" customWidth="1"/>
    <col min="7" max="16384" width="11.125" style="95"/>
  </cols>
  <sheetData>
    <row r="1" spans="1:6" s="47" customFormat="1" ht="15.75" x14ac:dyDescent="0.25">
      <c r="A1" s="48" t="s">
        <v>5</v>
      </c>
      <c r="B1" s="13" t="s">
        <v>7</v>
      </c>
      <c r="C1" s="48"/>
      <c r="D1" s="175" t="s">
        <v>4297</v>
      </c>
      <c r="E1" s="51"/>
      <c r="F1" s="50"/>
    </row>
    <row r="2" spans="1:6" s="47" customFormat="1" ht="15" x14ac:dyDescent="0.25">
      <c r="A2" s="48" t="s">
        <v>51</v>
      </c>
      <c r="B2" s="13" t="s">
        <v>3011</v>
      </c>
      <c r="C2" s="48"/>
      <c r="D2" s="50"/>
      <c r="E2" s="51"/>
      <c r="F2" s="50"/>
    </row>
    <row r="3" spans="1:6" s="47" customFormat="1" ht="15" x14ac:dyDescent="0.25">
      <c r="A3" s="48" t="s">
        <v>17</v>
      </c>
      <c r="B3" s="13">
        <v>1992</v>
      </c>
      <c r="C3" s="48"/>
      <c r="D3" s="50"/>
      <c r="E3" s="50"/>
      <c r="F3" s="50"/>
    </row>
    <row r="4" spans="1:6" s="47" customFormat="1" ht="15" x14ac:dyDescent="0.25">
      <c r="A4" s="48" t="s">
        <v>18</v>
      </c>
      <c r="B4" s="52" t="s">
        <v>2279</v>
      </c>
      <c r="C4" s="48"/>
      <c r="D4" s="50"/>
      <c r="E4" s="50"/>
      <c r="F4" s="50"/>
    </row>
    <row r="5" spans="1:6" s="47" customFormat="1" ht="15" x14ac:dyDescent="0.25">
      <c r="A5" s="48"/>
      <c r="B5" s="52" t="s">
        <v>2280</v>
      </c>
      <c r="C5" s="48"/>
      <c r="D5" s="50"/>
      <c r="E5" s="50"/>
      <c r="F5" s="50"/>
    </row>
    <row r="7" spans="1:6" s="47" customFormat="1" ht="30" x14ac:dyDescent="0.25">
      <c r="A7" s="96" t="s">
        <v>50</v>
      </c>
      <c r="B7" s="97" t="s">
        <v>13</v>
      </c>
      <c r="C7" s="97" t="s">
        <v>2296</v>
      </c>
      <c r="D7" s="97" t="s">
        <v>4836</v>
      </c>
      <c r="E7" s="97" t="s">
        <v>20</v>
      </c>
      <c r="F7" s="97" t="s">
        <v>2297</v>
      </c>
    </row>
    <row r="8" spans="1:6" ht="15" x14ac:dyDescent="0.2">
      <c r="A8" s="233" t="s">
        <v>2279</v>
      </c>
      <c r="B8" s="233"/>
      <c r="C8" s="233"/>
      <c r="D8" s="233"/>
      <c r="E8" s="233"/>
      <c r="F8" s="233"/>
    </row>
    <row r="9" spans="1:6" x14ac:dyDescent="0.2">
      <c r="A9" s="176"/>
      <c r="B9" s="177" t="s">
        <v>3012</v>
      </c>
      <c r="C9" s="176" t="s">
        <v>2298</v>
      </c>
      <c r="D9" s="178" t="str">
        <f xml:space="preserve">   "Numéro identification ESS"</f>
        <v>Numéro identification ESS</v>
      </c>
      <c r="E9" s="178" t="s">
        <v>3252</v>
      </c>
      <c r="F9" s="176" t="s">
        <v>2299</v>
      </c>
    </row>
    <row r="10" spans="1:6" x14ac:dyDescent="0.2">
      <c r="A10" s="176"/>
      <c r="B10" s="177"/>
      <c r="C10" s="176" t="s">
        <v>2300</v>
      </c>
      <c r="D10" s="178" t="str">
        <f>"Âge"</f>
        <v>Âge</v>
      </c>
      <c r="E10" s="178"/>
      <c r="F10" s="176"/>
    </row>
    <row r="11" spans="1:6" x14ac:dyDescent="0.2">
      <c r="A11" s="176"/>
      <c r="B11" s="177"/>
      <c r="C11" s="176" t="s">
        <v>2301</v>
      </c>
      <c r="D11" s="178" t="str">
        <f xml:space="preserve">   "Année de naissance"</f>
        <v>Année de naissance</v>
      </c>
      <c r="E11" s="178"/>
      <c r="F11" s="176"/>
    </row>
    <row r="12" spans="1:6" x14ac:dyDescent="0.2">
      <c r="A12" s="176"/>
      <c r="B12" s="177"/>
      <c r="C12" s="176" t="s">
        <v>2302</v>
      </c>
      <c r="D12" s="176" t="str">
        <f xml:space="preserve">   "Jour de interview"</f>
        <v>Jour de interview</v>
      </c>
      <c r="E12" s="176"/>
      <c r="F12" s="176"/>
    </row>
    <row r="13" spans="1:6" x14ac:dyDescent="0.2">
      <c r="A13" s="176"/>
      <c r="B13" s="177"/>
      <c r="C13" s="176" t="s">
        <v>2303</v>
      </c>
      <c r="D13" s="176" t="str">
        <f xml:space="preserve">   "Mois de interview"</f>
        <v>Mois de interview</v>
      </c>
      <c r="E13" s="176"/>
      <c r="F13" s="176"/>
    </row>
    <row r="14" spans="1:6" x14ac:dyDescent="0.2">
      <c r="A14" s="176"/>
      <c r="B14" s="177"/>
      <c r="C14" s="176" t="s">
        <v>2304</v>
      </c>
      <c r="D14" s="176" t="str">
        <f xml:space="preserve">   "Année de interview"</f>
        <v>Année de interview</v>
      </c>
      <c r="E14" s="176"/>
      <c r="F14" s="176"/>
    </row>
    <row r="15" spans="1:6" x14ac:dyDescent="0.2">
      <c r="A15" s="176"/>
      <c r="B15" s="177"/>
      <c r="C15" s="176" t="s">
        <v>2305</v>
      </c>
      <c r="D15" s="176" t="str">
        <f>"Nombre personne(s) dans le ménage (&gt;=15 ans)"</f>
        <v>Nombre personne(s) dans le ménage (&gt;=15 ans)</v>
      </c>
      <c r="E15" s="176"/>
      <c r="F15" s="176"/>
    </row>
    <row r="16" spans="1:6" x14ac:dyDescent="0.2">
      <c r="A16" s="176"/>
      <c r="B16" s="177"/>
      <c r="C16" s="176" t="s">
        <v>2306</v>
      </c>
      <c r="D16" s="176" t="s">
        <v>2307</v>
      </c>
      <c r="E16" s="176"/>
      <c r="F16" s="176"/>
    </row>
    <row r="17" spans="1:6" x14ac:dyDescent="0.2">
      <c r="A17" s="176"/>
      <c r="B17" s="177"/>
      <c r="C17" s="176" t="s">
        <v>2308</v>
      </c>
      <c r="D17" s="178" t="s">
        <v>2309</v>
      </c>
      <c r="E17" s="178"/>
      <c r="F17" s="176"/>
    </row>
    <row r="18" spans="1:6" x14ac:dyDescent="0.2">
      <c r="A18" s="176"/>
      <c r="B18" s="177"/>
      <c r="C18" s="176" t="s">
        <v>2310</v>
      </c>
      <c r="D18" s="176" t="s">
        <v>2311</v>
      </c>
      <c r="E18" s="178"/>
      <c r="F18" s="176"/>
    </row>
    <row r="19" spans="1:6" x14ac:dyDescent="0.2">
      <c r="A19" s="176"/>
      <c r="B19" s="177"/>
      <c r="C19" s="176" t="s">
        <v>2312</v>
      </c>
      <c r="D19" s="176" t="str">
        <f>"(Ex-)fumeurs : âge 1e consommation régulière de tabac"</f>
        <v>(Ex-)fumeurs : âge 1e consommation régulière de tabac</v>
      </c>
      <c r="E19" s="178"/>
      <c r="F19" s="176"/>
    </row>
    <row r="20" spans="1:6" x14ac:dyDescent="0.2">
      <c r="A20" s="176"/>
      <c r="B20" s="177"/>
      <c r="C20" s="176" t="s">
        <v>2313</v>
      </c>
      <c r="D20" s="176" t="str">
        <f>"Nombre d'heures de travail par semaine"</f>
        <v>Nombre d'heures de travail par semaine</v>
      </c>
      <c r="E20" s="178"/>
      <c r="F20" s="176"/>
    </row>
    <row r="21" spans="1:6" x14ac:dyDescent="0.2">
      <c r="A21" s="176"/>
      <c r="B21" s="177"/>
      <c r="C21" s="176" t="s">
        <v>2314</v>
      </c>
      <c r="D21" s="176" t="str">
        <f>"Indépendant : nombre d'employés"</f>
        <v>Indépendant : nombre d'employés</v>
      </c>
      <c r="E21" s="178"/>
      <c r="F21" s="176"/>
    </row>
    <row r="22" spans="1:6" x14ac:dyDescent="0.2">
      <c r="A22" s="176"/>
      <c r="B22" s="177"/>
      <c r="C22" s="176" t="s">
        <v>2315</v>
      </c>
      <c r="D22" s="176" t="str">
        <f>"Aide reçue pour raisons de santé (5 ans) : année"</f>
        <v>Aide reçue pour raisons de santé (5 ans) : année</v>
      </c>
      <c r="E22" s="178"/>
      <c r="F22" s="176"/>
    </row>
    <row r="23" spans="1:6" x14ac:dyDescent="0.2">
      <c r="A23" s="176"/>
      <c r="B23" s="177"/>
      <c r="C23" s="176" t="s">
        <v>2316</v>
      </c>
      <c r="D23" s="176" t="str">
        <f>"Durée aide reçue : nombre de jours"</f>
        <v>Durée aide reçue : nombre de jours</v>
      </c>
      <c r="E23" s="178"/>
      <c r="F23" s="176"/>
    </row>
    <row r="24" spans="1:6" x14ac:dyDescent="0.2">
      <c r="A24" s="176"/>
      <c r="B24" s="177"/>
      <c r="C24" s="176" t="s">
        <v>2317</v>
      </c>
      <c r="D24" s="176" t="s">
        <v>2318</v>
      </c>
      <c r="E24" s="178"/>
      <c r="F24" s="176"/>
    </row>
    <row r="25" spans="1:6" x14ac:dyDescent="0.2">
      <c r="A25" s="176"/>
      <c r="B25" s="177"/>
      <c r="C25" s="176" t="s">
        <v>2319</v>
      </c>
      <c r="D25" s="176" t="s">
        <v>2320</v>
      </c>
      <c r="E25" s="178"/>
      <c r="F25" s="176"/>
    </row>
    <row r="26" spans="1:6" x14ac:dyDescent="0.2">
      <c r="A26" s="176"/>
      <c r="B26" s="177"/>
      <c r="C26" s="176" t="s">
        <v>2321</v>
      </c>
      <c r="D26" s="176" t="str">
        <f>"Activité physique transpiration dans les loisirs : fréquence (jours/semaine)"</f>
        <v>Activité physique transpiration dans les loisirs : fréquence (jours/semaine)</v>
      </c>
      <c r="E26" s="178"/>
      <c r="F26" s="176"/>
    </row>
    <row r="27" spans="1:6" x14ac:dyDescent="0.2">
      <c r="A27" s="176"/>
      <c r="B27" s="177"/>
      <c r="C27" s="176" t="s">
        <v>2322</v>
      </c>
      <c r="D27" s="176" t="str">
        <f>"Dernier contrôle tension artérielle : mois"</f>
        <v>Dernier contrôle tension artérielle : mois</v>
      </c>
      <c r="E27" s="178"/>
      <c r="F27" s="176"/>
    </row>
    <row r="28" spans="1:6" x14ac:dyDescent="0.2">
      <c r="A28" s="176"/>
      <c r="B28" s="177"/>
      <c r="C28" s="176" t="s">
        <v>2323</v>
      </c>
      <c r="D28" s="176" t="str">
        <f>"Dernier contrôle tension artérielle : année"</f>
        <v>Dernier contrôle tension artérielle : année</v>
      </c>
      <c r="E28" s="178"/>
      <c r="F28" s="176"/>
    </row>
    <row r="29" spans="1:6" x14ac:dyDescent="0.2">
      <c r="A29" s="176"/>
      <c r="B29" s="177"/>
      <c r="C29" s="176" t="s">
        <v>2324</v>
      </c>
      <c r="D29" s="176" t="str">
        <f>"Dernier contrôle tension artérielle : valeur diastolique"</f>
        <v>Dernier contrôle tension artérielle : valeur diastolique</v>
      </c>
      <c r="E29" s="178"/>
      <c r="F29" s="176"/>
    </row>
    <row r="30" spans="1:6" x14ac:dyDescent="0.2">
      <c r="A30" s="176"/>
      <c r="B30" s="177"/>
      <c r="C30" s="176" t="s">
        <v>2325</v>
      </c>
      <c r="D30" s="176" t="str">
        <f>"Dernier contrôle tension artérielle : valeur systolique"</f>
        <v>Dernier contrôle tension artérielle : valeur systolique</v>
      </c>
      <c r="E30" s="178"/>
      <c r="F30" s="176"/>
    </row>
    <row r="31" spans="1:6" x14ac:dyDescent="0.2">
      <c r="A31" s="176"/>
      <c r="B31" s="177"/>
      <c r="C31" s="176" t="s">
        <v>2326</v>
      </c>
      <c r="D31" s="176" t="str">
        <f>"Dernier contrôle cholestérol : mois"</f>
        <v>Dernier contrôle cholestérol : mois</v>
      </c>
      <c r="E31" s="178"/>
      <c r="F31" s="176"/>
    </row>
    <row r="32" spans="1:6" x14ac:dyDescent="0.2">
      <c r="A32" s="176"/>
      <c r="B32" s="177"/>
      <c r="C32" s="176" t="s">
        <v>2327</v>
      </c>
      <c r="D32" s="176" t="str">
        <f>"Dernier contrôle cholestérol : année"</f>
        <v>Dernier contrôle cholestérol : année</v>
      </c>
      <c r="E32" s="178"/>
      <c r="F32" s="176"/>
    </row>
    <row r="33" spans="1:6" x14ac:dyDescent="0.2">
      <c r="A33" s="176"/>
      <c r="B33" s="177"/>
      <c r="C33" s="176" t="s">
        <v>2328</v>
      </c>
      <c r="D33" s="176" t="str">
        <f>"(H 40+ ans) Dernier examen prostate : année"</f>
        <v>(H 40+ ans) Dernier examen prostate : année</v>
      </c>
      <c r="E33" s="178"/>
      <c r="F33" s="176"/>
    </row>
    <row r="34" spans="1:6" x14ac:dyDescent="0.2">
      <c r="A34" s="176"/>
      <c r="B34" s="177"/>
      <c r="C34" s="176" t="s">
        <v>2329</v>
      </c>
      <c r="D34" s="176" t="str">
        <f>"(F 20+ ans) Dernier dépistage cancer col utérus : année"</f>
        <v>(F 20+ ans) Dernier dépistage cancer col utérus : année</v>
      </c>
      <c r="E34" s="178"/>
      <c r="F34" s="176"/>
    </row>
    <row r="35" spans="1:6" x14ac:dyDescent="0.2">
      <c r="A35" s="176"/>
      <c r="B35" s="177"/>
      <c r="C35" s="176" t="s">
        <v>2330</v>
      </c>
      <c r="D35" s="176" t="str">
        <f>"(F 20+ ans) Dernière mammographie : année"</f>
        <v>(F 20+ ans) Dernière mammographie : année</v>
      </c>
      <c r="E35" s="178"/>
      <c r="F35" s="176"/>
    </row>
    <row r="36" spans="1:6" x14ac:dyDescent="0.2">
      <c r="A36" s="176"/>
      <c r="B36" s="177"/>
      <c r="C36" s="176" t="s">
        <v>2331</v>
      </c>
      <c r="D36" s="176" t="str">
        <f>"(F 20+ ans) Dernier autre contrôle préventif des seins : année"</f>
        <v>(F 20+ ans) Dernier autre contrôle préventif des seins : année</v>
      </c>
      <c r="E36" s="178"/>
      <c r="F36" s="176"/>
    </row>
    <row r="37" spans="1:6" x14ac:dyDescent="0.2">
      <c r="A37" s="176"/>
      <c r="B37" s="177"/>
      <c r="C37" s="176" t="s">
        <v>2332</v>
      </c>
      <c r="D37" s="176" t="str">
        <f>"Enfants : nombre"</f>
        <v>Enfants : nombre</v>
      </c>
      <c r="E37" s="178"/>
      <c r="F37" s="176"/>
    </row>
    <row r="38" spans="1:6" x14ac:dyDescent="0.2">
      <c r="A38" s="176"/>
      <c r="B38" s="177"/>
      <c r="C38" s="176" t="s">
        <v>2333</v>
      </c>
      <c r="D38" s="176" t="str">
        <f>"Enfants dans le ménage: nombre"</f>
        <v>Enfants dans le ménage: nombre</v>
      </c>
      <c r="E38" s="178"/>
      <c r="F38" s="176"/>
    </row>
    <row r="39" spans="1:6" x14ac:dyDescent="0.2">
      <c r="A39" s="176"/>
      <c r="B39" s="177"/>
      <c r="C39" s="176" t="s">
        <v>2334</v>
      </c>
      <c r="D39" s="176" t="str">
        <f>"Personnes 60+ ans : nombre d'enfants en vie"</f>
        <v>Personnes 60+ ans : nombre d'enfants en vie</v>
      </c>
      <c r="E39" s="178"/>
      <c r="F39" s="176"/>
    </row>
    <row r="40" spans="1:6" x14ac:dyDescent="0.2">
      <c r="A40" s="176"/>
      <c r="B40" s="177"/>
      <c r="C40" s="176" t="s">
        <v>2335</v>
      </c>
      <c r="D40" s="176" t="str">
        <f>"(15-39 ans) Haschich : âge 1e consommation"</f>
        <v>(15-39 ans) Haschich : âge 1e consommation</v>
      </c>
      <c r="E40" s="178"/>
      <c r="F40" s="176"/>
    </row>
    <row r="41" spans="1:6" x14ac:dyDescent="0.2">
      <c r="A41" s="176"/>
      <c r="B41" s="177"/>
      <c r="C41" s="176" t="s">
        <v>2336</v>
      </c>
      <c r="D41" s="176" t="str">
        <f>"(15-39 ans) Héroïne : âge 1e consommation"</f>
        <v>(15-39 ans) Héroïne : âge 1e consommation</v>
      </c>
      <c r="E41" s="178"/>
      <c r="F41" s="176"/>
    </row>
    <row r="42" spans="1:6" x14ac:dyDescent="0.2">
      <c r="A42" s="176"/>
      <c r="B42" s="177"/>
      <c r="C42" s="176" t="s">
        <v>2337</v>
      </c>
      <c r="D42" s="176" t="str">
        <f>"(15-39 ans) Cocaïne : âge 1e consommation"</f>
        <v>(15-39 ans) Cocaïne : âge 1e consommation</v>
      </c>
      <c r="E42" s="178"/>
      <c r="F42" s="176"/>
    </row>
    <row r="43" spans="1:6" x14ac:dyDescent="0.2">
      <c r="A43" s="176"/>
      <c r="B43" s="177"/>
      <c r="C43" s="176" t="s">
        <v>2338</v>
      </c>
      <c r="D43" s="176" t="str">
        <f>"(15-39 ans) Méthadone : âge 1e consommation"</f>
        <v>(15-39 ans) Méthadone : âge 1e consommation</v>
      </c>
      <c r="E43" s="178"/>
      <c r="F43" s="176"/>
    </row>
    <row r="44" spans="1:6" x14ac:dyDescent="0.2">
      <c r="A44" s="176"/>
      <c r="B44" s="177"/>
      <c r="C44" s="176" t="s">
        <v>2339</v>
      </c>
      <c r="D44" s="176" t="str">
        <f>"(15-39 ans) Crack, freebase : âge 1e consommation"</f>
        <v>(15-39 ans) Crack, freebase : âge 1e consommation</v>
      </c>
      <c r="E44" s="178"/>
      <c r="F44" s="176"/>
    </row>
    <row r="45" spans="1:6" x14ac:dyDescent="0.2">
      <c r="A45" s="176"/>
      <c r="B45" s="177"/>
      <c r="C45" s="176" t="s">
        <v>2340</v>
      </c>
      <c r="D45" s="176" t="str">
        <f>"(15-39 ans) Amphétamines : âge 1e consommation"</f>
        <v>(15-39 ans) Amphétamines : âge 1e consommation</v>
      </c>
      <c r="E45" s="178"/>
      <c r="F45" s="176"/>
    </row>
    <row r="46" spans="1:6" x14ac:dyDescent="0.2">
      <c r="A46" s="176"/>
      <c r="B46" s="177"/>
      <c r="C46" s="176" t="s">
        <v>2341</v>
      </c>
      <c r="D46" s="176" t="str">
        <f>"(15-39 ans) Hallucinogènes : âge 1e consommation"</f>
        <v>(15-39 ans) Hallucinogènes : âge 1e consommation</v>
      </c>
      <c r="E46" s="178"/>
      <c r="F46" s="176"/>
    </row>
    <row r="47" spans="1:6" x14ac:dyDescent="0.2">
      <c r="A47" s="176"/>
      <c r="B47" s="177"/>
      <c r="C47" s="176" t="s">
        <v>2342</v>
      </c>
      <c r="D47" s="176" t="str">
        <f>"(15-39 ans) Autres stupéfiants : âge 1e consommation"</f>
        <v>(15-39 ans) Autres stupéfiants : âge 1e consommation</v>
      </c>
      <c r="E47" s="178"/>
      <c r="F47" s="176"/>
    </row>
    <row r="48" spans="1:6" ht="15" x14ac:dyDescent="0.25">
      <c r="A48" s="176"/>
      <c r="B48" s="177"/>
      <c r="C48" s="183" t="s">
        <v>2343</v>
      </c>
      <c r="D48" s="183" t="str">
        <f xml:space="preserve">   "Vague d’échantillonnage (4 groupes)"</f>
        <v>Vague d’échantillonnage (4 groupes)</v>
      </c>
      <c r="E48" s="184"/>
      <c r="F48" s="183"/>
    </row>
    <row r="49" spans="1:6" x14ac:dyDescent="0.2">
      <c r="A49" s="176"/>
      <c r="B49" s="177"/>
      <c r="C49" s="176" t="s">
        <v>2344</v>
      </c>
      <c r="D49" s="176" t="str">
        <f>"Poids finaux données téléphoniques"</f>
        <v>Poids finaux données téléphoniques</v>
      </c>
      <c r="E49" s="178"/>
      <c r="F49" s="176"/>
    </row>
    <row r="50" spans="1:6" x14ac:dyDescent="0.2">
      <c r="A50" s="176"/>
      <c r="B50" s="177"/>
      <c r="C50" s="178" t="s">
        <v>2345</v>
      </c>
      <c r="D50" s="178" t="str">
        <f xml:space="preserve">   "Langue d’interview"</f>
        <v>Langue d’interview</v>
      </c>
      <c r="E50" s="179" t="s">
        <v>3253</v>
      </c>
      <c r="F50" s="178" t="s">
        <v>2346</v>
      </c>
    </row>
    <row r="51" spans="1:6" x14ac:dyDescent="0.2">
      <c r="A51" s="176"/>
      <c r="B51" s="177"/>
      <c r="C51" s="171"/>
      <c r="D51" s="171"/>
      <c r="E51" s="171" t="s">
        <v>3254</v>
      </c>
      <c r="F51" s="171"/>
    </row>
    <row r="52" spans="1:6" x14ac:dyDescent="0.2">
      <c r="A52" s="176"/>
      <c r="B52" s="177"/>
      <c r="C52" s="171"/>
      <c r="D52" s="171"/>
      <c r="E52" s="171" t="s">
        <v>3255</v>
      </c>
      <c r="F52" s="171"/>
    </row>
    <row r="53" spans="1:6" x14ac:dyDescent="0.2">
      <c r="A53" s="176"/>
      <c r="B53" s="177"/>
      <c r="C53" s="171"/>
      <c r="D53" s="171"/>
      <c r="E53" s="171" t="s">
        <v>3252</v>
      </c>
      <c r="F53" s="171"/>
    </row>
    <row r="54" spans="1:6" x14ac:dyDescent="0.2">
      <c r="A54" s="176"/>
      <c r="B54" s="177"/>
      <c r="C54" s="171" t="s">
        <v>2347</v>
      </c>
      <c r="D54" s="171" t="str">
        <f xml:space="preserve">   "Type d’interview"</f>
        <v>Type d’interview</v>
      </c>
      <c r="E54" s="171" t="s">
        <v>3256</v>
      </c>
      <c r="F54" s="171" t="s">
        <v>2348</v>
      </c>
    </row>
    <row r="55" spans="1:6" x14ac:dyDescent="0.2">
      <c r="A55" s="176"/>
      <c r="B55" s="177"/>
      <c r="C55" s="171"/>
      <c r="D55" s="171"/>
      <c r="E55" s="171" t="s">
        <v>3257</v>
      </c>
      <c r="F55" s="171"/>
    </row>
    <row r="56" spans="1:6" x14ac:dyDescent="0.2">
      <c r="A56" s="176"/>
      <c r="B56" s="177"/>
      <c r="C56" s="171"/>
      <c r="D56" s="171"/>
      <c r="E56" s="171" t="s">
        <v>3258</v>
      </c>
      <c r="F56" s="171"/>
    </row>
    <row r="57" spans="1:6" x14ac:dyDescent="0.2">
      <c r="A57" s="176"/>
      <c r="B57" s="177"/>
      <c r="C57" s="171"/>
      <c r="D57" s="171"/>
      <c r="E57" s="171" t="s">
        <v>3252</v>
      </c>
      <c r="F57" s="171"/>
    </row>
    <row r="58" spans="1:6" x14ac:dyDescent="0.2">
      <c r="A58" s="176"/>
      <c r="B58" s="177"/>
      <c r="C58" s="171" t="s">
        <v>2349</v>
      </c>
      <c r="D58" s="171" t="str">
        <f xml:space="preserve">   "Type d’échantillon (avec ou sans numéro de téléphone)"</f>
        <v>Type d’échantillon (avec ou sans numéro de téléphone)</v>
      </c>
      <c r="E58" s="171" t="s">
        <v>3259</v>
      </c>
      <c r="F58" s="171" t="s">
        <v>2349</v>
      </c>
    </row>
    <row r="59" spans="1:6" x14ac:dyDescent="0.2">
      <c r="A59" s="176"/>
      <c r="B59" s="177"/>
      <c r="C59" s="171"/>
      <c r="D59" s="171"/>
      <c r="E59" s="171" t="s">
        <v>3260</v>
      </c>
      <c r="F59" s="171"/>
    </row>
    <row r="60" spans="1:6" x14ac:dyDescent="0.2">
      <c r="A60" s="176"/>
      <c r="B60" s="177"/>
      <c r="C60" s="171"/>
      <c r="D60" s="171"/>
      <c r="E60" s="171" t="s">
        <v>3252</v>
      </c>
      <c r="F60" s="171"/>
    </row>
    <row r="61" spans="1:6" x14ac:dyDescent="0.2">
      <c r="A61" s="176"/>
      <c r="B61" s="177"/>
      <c r="C61" s="178" t="s">
        <v>2350</v>
      </c>
      <c r="D61" s="178" t="str">
        <f>"Sexe"</f>
        <v>Sexe</v>
      </c>
      <c r="E61" s="179" t="s">
        <v>3261</v>
      </c>
      <c r="F61" s="178" t="s">
        <v>2350</v>
      </c>
    </row>
    <row r="62" spans="1:6" x14ac:dyDescent="0.2">
      <c r="A62" s="176"/>
      <c r="B62" s="177"/>
      <c r="C62" s="178"/>
      <c r="D62" s="178"/>
      <c r="E62" s="179" t="s">
        <v>3262</v>
      </c>
      <c r="F62" s="178"/>
    </row>
    <row r="63" spans="1:6" x14ac:dyDescent="0.2">
      <c r="A63" s="176"/>
      <c r="B63" s="177"/>
      <c r="C63" s="178"/>
      <c r="D63" s="178"/>
      <c r="E63" s="178" t="s">
        <v>3252</v>
      </c>
      <c r="F63" s="178"/>
    </row>
    <row r="64" spans="1:6" x14ac:dyDescent="0.2">
      <c r="A64" s="176"/>
      <c r="B64" s="177"/>
      <c r="C64" s="176" t="s">
        <v>2351</v>
      </c>
      <c r="D64" s="176" t="str">
        <f>"Etat de santé auto-évaluée actuel"</f>
        <v>Etat de santé auto-évaluée actuel</v>
      </c>
      <c r="E64" s="178" t="s">
        <v>3263</v>
      </c>
      <c r="F64" s="176" t="s">
        <v>2352</v>
      </c>
    </row>
    <row r="65" spans="1:6" x14ac:dyDescent="0.2">
      <c r="A65" s="176"/>
      <c r="B65" s="177"/>
      <c r="C65" s="176"/>
      <c r="D65" s="176"/>
      <c r="E65" s="178" t="s">
        <v>3264</v>
      </c>
      <c r="F65" s="176"/>
    </row>
    <row r="66" spans="1:6" x14ac:dyDescent="0.2">
      <c r="A66" s="176"/>
      <c r="B66" s="177"/>
      <c r="C66" s="176"/>
      <c r="D66" s="176"/>
      <c r="E66" s="178" t="s">
        <v>3265</v>
      </c>
      <c r="F66" s="176"/>
    </row>
    <row r="67" spans="1:6" x14ac:dyDescent="0.2">
      <c r="A67" s="176"/>
      <c r="B67" s="177"/>
      <c r="C67" s="176"/>
      <c r="D67" s="176"/>
      <c r="E67" s="178" t="s">
        <v>3266</v>
      </c>
      <c r="F67" s="176"/>
    </row>
    <row r="68" spans="1:6" x14ac:dyDescent="0.2">
      <c r="A68" s="176"/>
      <c r="B68" s="177"/>
      <c r="C68" s="176"/>
      <c r="D68" s="176"/>
      <c r="E68" s="178" t="s">
        <v>3267</v>
      </c>
      <c r="F68" s="176"/>
    </row>
    <row r="69" spans="1:6" x14ac:dyDescent="0.2">
      <c r="A69" s="176"/>
      <c r="B69" s="177"/>
      <c r="C69" s="176"/>
      <c r="D69" s="176"/>
      <c r="E69" s="185" t="s">
        <v>2353</v>
      </c>
      <c r="F69" s="176"/>
    </row>
    <row r="70" spans="1:6" x14ac:dyDescent="0.2">
      <c r="A70" s="176"/>
      <c r="B70" s="177"/>
      <c r="C70" s="176" t="s">
        <v>2354</v>
      </c>
      <c r="D70" s="176" t="str">
        <f>"Comparaison état de santé actuel vs habituel"</f>
        <v>Comparaison état de santé actuel vs habituel</v>
      </c>
      <c r="E70" s="178" t="s">
        <v>3268</v>
      </c>
      <c r="F70" s="176" t="s">
        <v>2355</v>
      </c>
    </row>
    <row r="71" spans="1:6" x14ac:dyDescent="0.2">
      <c r="A71" s="176"/>
      <c r="B71" s="177"/>
      <c r="C71" s="176"/>
      <c r="D71" s="176"/>
      <c r="E71" s="178" t="s">
        <v>3269</v>
      </c>
      <c r="F71" s="176"/>
    </row>
    <row r="72" spans="1:6" x14ac:dyDescent="0.2">
      <c r="A72" s="176"/>
      <c r="B72" s="177"/>
      <c r="C72" s="176"/>
      <c r="D72" s="176"/>
      <c r="E72" s="178" t="s">
        <v>3270</v>
      </c>
      <c r="F72" s="176"/>
    </row>
    <row r="73" spans="1:6" x14ac:dyDescent="0.2">
      <c r="A73" s="176"/>
      <c r="B73" s="177"/>
      <c r="C73" s="176"/>
      <c r="D73" s="176"/>
      <c r="E73" s="185" t="s">
        <v>2353</v>
      </c>
      <c r="F73" s="176"/>
    </row>
    <row r="74" spans="1:6" x14ac:dyDescent="0.2">
      <c r="A74" s="176"/>
      <c r="B74" s="177"/>
      <c r="C74" s="176" t="s">
        <v>2356</v>
      </c>
      <c r="D74" s="176" t="str">
        <f>"Mal de dos, reins (4 semaines) : intensité"</f>
        <v>Mal de dos, reins (4 semaines) : intensité</v>
      </c>
      <c r="E74" s="178" t="s">
        <v>3271</v>
      </c>
      <c r="F74" s="176" t="s">
        <v>2357</v>
      </c>
    </row>
    <row r="75" spans="1:6" x14ac:dyDescent="0.2">
      <c r="A75" s="176"/>
      <c r="B75" s="177"/>
      <c r="C75" s="176" t="s">
        <v>2358</v>
      </c>
      <c r="D75" s="176" t="str">
        <f>"Sentiment de faiblesse (4 semaines) : intensité"</f>
        <v>Sentiment de faiblesse (4 semaines) : intensité</v>
      </c>
      <c r="E75" s="178" t="s">
        <v>3272</v>
      </c>
      <c r="F75" s="176"/>
    </row>
    <row r="76" spans="1:6" x14ac:dyDescent="0.2">
      <c r="A76" s="176"/>
      <c r="B76" s="177"/>
      <c r="C76" s="176" t="s">
        <v>2359</v>
      </c>
      <c r="D76" s="176" t="str">
        <f>"Mal au ventre, ballonnement (4 semaines) : intensité"</f>
        <v>Mal au ventre, ballonnement (4 semaines) : intensité</v>
      </c>
      <c r="E76" s="178" t="s">
        <v>3273</v>
      </c>
      <c r="F76" s="176"/>
    </row>
    <row r="77" spans="1:6" x14ac:dyDescent="0.2">
      <c r="A77" s="176"/>
      <c r="B77" s="177"/>
      <c r="C77" s="176" t="s">
        <v>2360</v>
      </c>
      <c r="D77" s="176" t="str">
        <f>"Diarrhée, constipation (4 semaines) : intensité"</f>
        <v>Diarrhée, constipation (4 semaines) : intensité</v>
      </c>
      <c r="E77" s="185" t="s">
        <v>2353</v>
      </c>
      <c r="F77" s="176"/>
    </row>
    <row r="78" spans="1:6" x14ac:dyDescent="0.2">
      <c r="A78" s="176"/>
      <c r="B78" s="177"/>
      <c r="C78" s="176" t="s">
        <v>2361</v>
      </c>
      <c r="D78" s="176" t="str">
        <f>"Insomnie, difficulté à s’endormir (4 semaines) : intensité"</f>
        <v>Insomnie, difficulté à s’endormir (4 semaines) : intensité</v>
      </c>
      <c r="E78" s="178"/>
      <c r="F78" s="176"/>
    </row>
    <row r="79" spans="1:6" x14ac:dyDescent="0.2">
      <c r="A79" s="176"/>
      <c r="B79" s="177"/>
      <c r="C79" s="176" t="s">
        <v>2362</v>
      </c>
      <c r="D79" s="176" t="str">
        <f>"Maux de tête, douleurs visage (4 semaines) : intensité"</f>
        <v>Maux de tête, douleurs visage (4 semaines) : intensité</v>
      </c>
      <c r="E79" s="178"/>
      <c r="F79" s="176"/>
    </row>
    <row r="80" spans="1:6" x14ac:dyDescent="0.2">
      <c r="A80" s="176"/>
      <c r="B80" s="177"/>
      <c r="C80" s="176" t="s">
        <v>2363</v>
      </c>
      <c r="D80" s="176" t="str">
        <f>"Irrégularité cardiaque (4 semaines) : intensité"</f>
        <v>Irrégularité cardiaque (4 semaines) : intensité</v>
      </c>
      <c r="E80" s="178"/>
      <c r="F80" s="176"/>
    </row>
    <row r="81" spans="1:6" x14ac:dyDescent="0.2">
      <c r="A81" s="176"/>
      <c r="B81" s="177"/>
      <c r="C81" s="176" t="s">
        <v>2364</v>
      </c>
      <c r="D81" s="176" t="str">
        <f>"Douleur, pression dans poitrine (4 semaines) : intensité"</f>
        <v>Douleur, pression dans poitrine (4 semaines) : intensité</v>
      </c>
      <c r="E81" s="178"/>
      <c r="F81" s="176"/>
    </row>
    <row r="82" spans="1:6" x14ac:dyDescent="0.2">
      <c r="A82" s="176"/>
      <c r="B82" s="177"/>
      <c r="C82" s="176" t="s">
        <v>2365</v>
      </c>
      <c r="D82" s="176" t="str">
        <f>"Fièvre (4 semaines) : intensité"</f>
        <v>Fièvre (4 semaines) : intensité</v>
      </c>
      <c r="E82" s="178"/>
      <c r="F82" s="176"/>
    </row>
    <row r="83" spans="1:6" x14ac:dyDescent="0.2">
      <c r="A83" s="176"/>
      <c r="B83" s="177"/>
      <c r="C83" s="176" t="s">
        <v>2366</v>
      </c>
      <c r="D83" s="176" t="str">
        <f>"(F 15-50 ans) Dérangement menstruel (4 semaines) : intensité"</f>
        <v>(F 15-50 ans) Dérangement menstruel (4 semaines) : intensité</v>
      </c>
      <c r="E83" s="178"/>
      <c r="F83" s="176"/>
    </row>
    <row r="84" spans="1:6" x14ac:dyDescent="0.2">
      <c r="A84" s="176"/>
      <c r="B84" s="177"/>
      <c r="C84" s="176" t="s">
        <v>2367</v>
      </c>
      <c r="D84" s="176" t="str">
        <f>"Maux quotidiens dans les articulations (4 semaines)"</f>
        <v>Maux quotidiens dans les articulations (4 semaines)</v>
      </c>
      <c r="E84" s="179" t="s">
        <v>3274</v>
      </c>
      <c r="F84" s="176" t="s">
        <v>2368</v>
      </c>
    </row>
    <row r="85" spans="1:6" x14ac:dyDescent="0.2">
      <c r="A85" s="176"/>
      <c r="B85" s="177"/>
      <c r="C85" s="176" t="s">
        <v>2369</v>
      </c>
      <c r="D85" s="176" t="str">
        <f>"Articulation enflée et douloureuse"</f>
        <v>Articulation enflée et douloureuse</v>
      </c>
      <c r="E85" s="179" t="s">
        <v>3275</v>
      </c>
      <c r="F85" s="176"/>
    </row>
    <row r="86" spans="1:6" x14ac:dyDescent="0.2">
      <c r="A86" s="176"/>
      <c r="B86" s="177"/>
      <c r="C86" s="176" t="s">
        <v>2370</v>
      </c>
      <c r="D86" s="176" t="str">
        <f>"Quintes de toux (12 mois)"</f>
        <v>Quintes de toux (12 mois)</v>
      </c>
      <c r="E86" s="178" t="s">
        <v>3252</v>
      </c>
      <c r="F86" s="176"/>
    </row>
    <row r="87" spans="1:6" x14ac:dyDescent="0.2">
      <c r="A87" s="176"/>
      <c r="B87" s="177"/>
      <c r="C87" s="176" t="s">
        <v>2371</v>
      </c>
      <c r="D87" s="176" t="str">
        <f>"Glaires (12 mois)"</f>
        <v>Glaires (12 mois)</v>
      </c>
      <c r="E87" s="178"/>
      <c r="F87" s="176"/>
    </row>
    <row r="88" spans="1:6" x14ac:dyDescent="0.2">
      <c r="A88" s="176"/>
      <c r="B88" s="177"/>
      <c r="C88" s="176" t="s">
        <v>2372</v>
      </c>
      <c r="D88" s="176" t="str">
        <f>"Glaires (12 mois) : quotidiennement pendant 3 mois"</f>
        <v>Glaires (12 mois) : quotidiennement pendant 3 mois</v>
      </c>
      <c r="E88" s="178"/>
      <c r="F88" s="176"/>
    </row>
    <row r="89" spans="1:6" x14ac:dyDescent="0.2">
      <c r="A89" s="176"/>
      <c r="B89" s="177"/>
      <c r="C89" s="176" t="s">
        <v>2373</v>
      </c>
      <c r="D89" s="176" t="str">
        <f>"Glaires depuis minimum 2 ans"</f>
        <v>Glaires depuis minimum 2 ans</v>
      </c>
      <c r="E89" s="178"/>
      <c r="F89" s="176"/>
    </row>
    <row r="90" spans="1:6" x14ac:dyDescent="0.2">
      <c r="A90" s="176"/>
      <c r="B90" s="177"/>
      <c r="C90" s="176" t="s">
        <v>2374</v>
      </c>
      <c r="D90" s="176" t="str">
        <f>"Sifflement respiratoire (12 mois)"</f>
        <v>Sifflement respiratoire (12 mois)</v>
      </c>
      <c r="E90" s="178"/>
      <c r="F90" s="176"/>
    </row>
    <row r="91" spans="1:6" x14ac:dyDescent="0.2">
      <c r="A91" s="176"/>
      <c r="B91" s="177"/>
      <c r="C91" s="176" t="s">
        <v>2375</v>
      </c>
      <c r="D91" s="176" t="str">
        <f>"Sifflement respiratoire (12 mois) : difficulté respiratoire"</f>
        <v>Sifflement respiratoire (12 mois) : difficulté respiratoire</v>
      </c>
      <c r="E91" s="178"/>
      <c r="F91" s="176"/>
    </row>
    <row r="92" spans="1:6" x14ac:dyDescent="0.2">
      <c r="A92" s="176"/>
      <c r="B92" s="177"/>
      <c r="C92" s="176" t="s">
        <v>2376</v>
      </c>
      <c r="D92" s="176" t="str">
        <f>"Sifflement respiratoire (12 mois) : sans refroidissement"</f>
        <v>Sifflement respiratoire (12 mois) : sans refroidissement</v>
      </c>
      <c r="E92" s="178"/>
      <c r="F92" s="176"/>
    </row>
    <row r="93" spans="1:6" x14ac:dyDescent="0.2">
      <c r="A93" s="176"/>
      <c r="B93" s="177"/>
      <c r="C93" s="176" t="s">
        <v>2377</v>
      </c>
      <c r="D93" s="176" t="str">
        <f>"Rhume allergique"</f>
        <v>Rhume allergique</v>
      </c>
      <c r="E93" s="178"/>
      <c r="F93" s="176"/>
    </row>
    <row r="94" spans="1:6" x14ac:dyDescent="0.2">
      <c r="A94" s="176"/>
      <c r="B94" s="177"/>
      <c r="C94" s="176" t="s">
        <v>2378</v>
      </c>
      <c r="D94" s="176" t="str">
        <f>"Tabac : consommation actuelle"</f>
        <v>Tabac : consommation actuelle</v>
      </c>
      <c r="E94" s="178"/>
      <c r="F94" s="176"/>
    </row>
    <row r="95" spans="1:6" x14ac:dyDescent="0.2">
      <c r="A95" s="176"/>
      <c r="B95" s="177"/>
      <c r="C95" s="176" t="s">
        <v>2379</v>
      </c>
      <c r="D95" s="176" t="str">
        <f>"Cigarettes : consommation"</f>
        <v>Cigarettes : consommation</v>
      </c>
      <c r="E95" s="178"/>
      <c r="F95" s="176"/>
    </row>
    <row r="96" spans="1:6" x14ac:dyDescent="0.2">
      <c r="A96" s="176"/>
      <c r="B96" s="177"/>
      <c r="C96" s="176" t="s">
        <v>2380</v>
      </c>
      <c r="D96" s="176" t="str">
        <f>"Cigares : consommation"</f>
        <v>Cigares : consommation</v>
      </c>
      <c r="E96" s="178"/>
      <c r="F96" s="176"/>
    </row>
    <row r="97" spans="1:6" x14ac:dyDescent="0.2">
      <c r="A97" s="176"/>
      <c r="B97" s="177"/>
      <c r="C97" s="176" t="s">
        <v>2381</v>
      </c>
      <c r="D97" s="176" t="str">
        <f>"Cigarillos : consommation"</f>
        <v>Cigarillos : consommation</v>
      </c>
      <c r="E97" s="178"/>
      <c r="F97" s="176"/>
    </row>
    <row r="98" spans="1:6" x14ac:dyDescent="0.2">
      <c r="A98" s="176"/>
      <c r="B98" s="177"/>
      <c r="C98" s="176" t="s">
        <v>2382</v>
      </c>
      <c r="D98" s="176" t="str">
        <f>"Pipe : consommation"</f>
        <v>Pipe : consommation</v>
      </c>
      <c r="E98" s="178"/>
      <c r="F98" s="176"/>
    </row>
    <row r="99" spans="1:6" x14ac:dyDescent="0.2">
      <c r="A99" s="176"/>
      <c r="B99" s="177"/>
      <c r="C99" s="176" t="s">
        <v>2383</v>
      </c>
      <c r="D99" s="176" t="str">
        <f>"Non-fumeurs : déjà fumé plus de 6 mois"</f>
        <v>Non-fumeurs : déjà fumé plus de 6 mois</v>
      </c>
      <c r="E99" s="178"/>
      <c r="F99" s="176"/>
    </row>
    <row r="100" spans="1:6" x14ac:dyDescent="0.2">
      <c r="A100" s="176"/>
      <c r="B100" s="177"/>
      <c r="C100" s="176" t="s">
        <v>2384</v>
      </c>
      <c r="D100" s="176" t="str">
        <f>"Fumeurs : aide pour renoncer au tabac"</f>
        <v>Fumeurs : aide pour renoncer au tabac</v>
      </c>
      <c r="E100" s="178"/>
      <c r="F100" s="176"/>
    </row>
    <row r="101" spans="1:6" x14ac:dyDescent="0.2">
      <c r="A101" s="176"/>
      <c r="B101" s="177"/>
      <c r="C101" s="176" t="s">
        <v>2385</v>
      </c>
      <c r="D101" s="176" t="str">
        <f>"Activité professionnelle accessoire"</f>
        <v>Activité professionnelle accessoire</v>
      </c>
      <c r="E101" s="178"/>
      <c r="F101" s="176"/>
    </row>
    <row r="102" spans="1:6" x14ac:dyDescent="0.2">
      <c r="A102" s="176"/>
      <c r="B102" s="177"/>
      <c r="C102" s="176" t="s">
        <v>2386</v>
      </c>
      <c r="D102" s="176" t="str">
        <f>"Temps partiel (moins de 36 heures par semaine) : pour raisons de santé"</f>
        <v>Temps partiel (moins de 36 heures par semaine) : pour raisons de santé</v>
      </c>
      <c r="E102" s="178"/>
      <c r="F102" s="176"/>
    </row>
    <row r="103" spans="1:6" x14ac:dyDescent="0.2">
      <c r="A103" s="176"/>
      <c r="B103" s="177"/>
      <c r="C103" s="176" t="s">
        <v>2387</v>
      </c>
      <c r="D103" s="176" t="str">
        <f>"Travail de nuit"</f>
        <v>Travail de nuit</v>
      </c>
      <c r="E103" s="178"/>
      <c r="F103" s="176"/>
    </row>
    <row r="104" spans="1:6" x14ac:dyDescent="0.2">
      <c r="A104" s="176"/>
      <c r="B104" s="177"/>
      <c r="C104" s="176" t="s">
        <v>2388</v>
      </c>
      <c r="D104" s="176" t="str">
        <f>"Travail le week-end"</f>
        <v>Travail le week-end</v>
      </c>
      <c r="E104" s="178"/>
      <c r="F104" s="176"/>
    </row>
    <row r="105" spans="1:6" x14ac:dyDescent="0.2">
      <c r="A105" s="176"/>
      <c r="B105" s="177"/>
      <c r="C105" s="176" t="s">
        <v>2389</v>
      </c>
      <c r="D105" s="176" t="str">
        <f>"Travail en horaire alterné"</f>
        <v>Travail en horaire alterné</v>
      </c>
      <c r="E105" s="178"/>
      <c r="F105" s="176"/>
    </row>
    <row r="106" spans="1:6" x14ac:dyDescent="0.2">
      <c r="A106" s="176"/>
      <c r="B106" s="177"/>
      <c r="C106" s="176" t="s">
        <v>2390</v>
      </c>
      <c r="D106" s="176" t="str">
        <f>"Consultation médicale (12 mois)"</f>
        <v>Consultation médicale (12 mois)</v>
      </c>
      <c r="E106" s="178"/>
      <c r="F106" s="176"/>
    </row>
    <row r="107" spans="1:6" x14ac:dyDescent="0.2">
      <c r="A107" s="176"/>
      <c r="B107" s="177"/>
      <c r="C107" s="176" t="s">
        <v>2391</v>
      </c>
      <c r="D107" s="176" t="str">
        <f>"Appel d'urgence d'un médecin durant le weekend (12 mois)"</f>
        <v>Appel d'urgence d'un médecin durant le weekend (12 mois)</v>
      </c>
      <c r="E107" s="178"/>
      <c r="F107" s="176"/>
    </row>
    <row r="108" spans="1:6" x14ac:dyDescent="0.2">
      <c r="A108" s="176"/>
      <c r="B108" s="177"/>
      <c r="C108" s="176" t="s">
        <v>2392</v>
      </c>
      <c r="D108" s="176" t="str">
        <f>"Consommation médicament quelconque (7 jours)"</f>
        <v>Consommation médicament quelconque (7 jours)</v>
      </c>
      <c r="E108" s="178"/>
      <c r="F108" s="176"/>
    </row>
    <row r="109" spans="1:6" x14ac:dyDescent="0.2">
      <c r="A109" s="176"/>
      <c r="B109" s="177"/>
      <c r="C109" s="176" t="s">
        <v>2393</v>
      </c>
      <c r="D109" s="176" t="s">
        <v>2394</v>
      </c>
      <c r="E109" s="178"/>
      <c r="F109" s="176"/>
    </row>
    <row r="110" spans="1:6" x14ac:dyDescent="0.2">
      <c r="A110" s="176"/>
      <c r="B110" s="177"/>
      <c r="C110" s="176" t="s">
        <v>2395</v>
      </c>
      <c r="D110" s="176" t="str">
        <f>"Aide reçue pour raisons de santé (5 ans)"</f>
        <v>Aide reçue pour raisons de santé (5 ans)</v>
      </c>
      <c r="E110" s="178"/>
      <c r="F110" s="176"/>
    </row>
    <row r="111" spans="1:6" x14ac:dyDescent="0.2">
      <c r="A111" s="176"/>
      <c r="B111" s="177"/>
      <c r="C111" s="176" t="s">
        <v>2396</v>
      </c>
      <c r="D111" s="176" t="str">
        <f>"Type aide reçue (5 ans) : achats"</f>
        <v>Type aide reçue (5 ans) : achats</v>
      </c>
      <c r="E111" s="178"/>
      <c r="F111" s="176"/>
    </row>
    <row r="112" spans="1:6" x14ac:dyDescent="0.2">
      <c r="A112" s="176"/>
      <c r="B112" s="177"/>
      <c r="C112" s="176" t="s">
        <v>2397</v>
      </c>
      <c r="D112" s="176" t="str">
        <f>"Type aide reçue (5 ans) : service de repas"</f>
        <v>Type aide reçue (5 ans) : service de repas</v>
      </c>
      <c r="E112" s="178"/>
      <c r="F112" s="176"/>
    </row>
    <row r="113" spans="1:6" x14ac:dyDescent="0.2">
      <c r="A113" s="176"/>
      <c r="B113" s="177"/>
      <c r="C113" s="176" t="s">
        <v>2398</v>
      </c>
      <c r="D113" s="176" t="str">
        <f>"Type aide reçue (5 ans) : transports"</f>
        <v>Type aide reçue (5 ans) : transports</v>
      </c>
      <c r="E113" s="178"/>
      <c r="F113" s="176"/>
    </row>
    <row r="114" spans="1:6" x14ac:dyDescent="0.2">
      <c r="A114" s="176"/>
      <c r="B114" s="177"/>
      <c r="C114" s="176" t="s">
        <v>2399</v>
      </c>
      <c r="D114" s="176" t="str">
        <f>"Type aide reçue (5 ans) : aide aux travaux ménagers"</f>
        <v>Type aide reçue (5 ans) : aide aux travaux ménagers</v>
      </c>
      <c r="E114" s="178"/>
      <c r="F114" s="176"/>
    </row>
    <row r="115" spans="1:6" x14ac:dyDescent="0.2">
      <c r="A115" s="176"/>
      <c r="B115" s="177"/>
      <c r="C115" s="176" t="s">
        <v>2400</v>
      </c>
      <c r="D115" s="176" t="str">
        <f>"Type aide reçue (5 ans) : soins médicaux"</f>
        <v>Type aide reçue (5 ans) : soins médicaux</v>
      </c>
      <c r="E115" s="178"/>
      <c r="F115" s="176"/>
    </row>
    <row r="116" spans="1:6" x14ac:dyDescent="0.2">
      <c r="A116" s="176"/>
      <c r="B116" s="177"/>
      <c r="C116" s="176" t="s">
        <v>2401</v>
      </c>
      <c r="D116" s="176" t="str">
        <f>"Type aide reçue (5 ans) : prise en charge autres membres de la famille"</f>
        <v>Type aide reçue (5 ans) : prise en charge autres membres de la famille</v>
      </c>
      <c r="E116" s="178"/>
      <c r="F116" s="176"/>
    </row>
    <row r="117" spans="1:6" x14ac:dyDescent="0.2">
      <c r="A117" s="176"/>
      <c r="B117" s="177"/>
      <c r="C117" s="176" t="s">
        <v>2402</v>
      </c>
      <c r="D117" s="176" t="str">
        <f>"Type aide reçue (5 ans) : autre"</f>
        <v>Type aide reçue (5 ans) : autre</v>
      </c>
      <c r="E117" s="178"/>
      <c r="F117" s="176"/>
    </row>
    <row r="118" spans="1:6" x14ac:dyDescent="0.2">
      <c r="A118" s="176"/>
      <c r="B118" s="177"/>
      <c r="C118" s="176" t="s">
        <v>2403</v>
      </c>
      <c r="D118" s="176" t="str">
        <f>"Besoin d'aide supplémentaire"</f>
        <v>Besoin d'aide supplémentaire</v>
      </c>
      <c r="E118" s="178"/>
      <c r="F118" s="176"/>
    </row>
    <row r="119" spans="1:6" x14ac:dyDescent="0.2">
      <c r="A119" s="176"/>
      <c r="B119" s="177"/>
      <c r="C119" s="176" t="s">
        <v>2404</v>
      </c>
      <c r="D119" s="176" t="str">
        <f>"Type besoin d'aide actuel : achats"</f>
        <v>Type besoin d'aide actuel : achats</v>
      </c>
      <c r="E119" s="178"/>
      <c r="F119" s="176"/>
    </row>
    <row r="120" spans="1:6" x14ac:dyDescent="0.2">
      <c r="A120" s="176"/>
      <c r="B120" s="177"/>
      <c r="C120" s="176" t="s">
        <v>2405</v>
      </c>
      <c r="D120" s="176" t="str">
        <f>"Type besoin d'aide actuel : service de repas"</f>
        <v>Type besoin d'aide actuel : service de repas</v>
      </c>
      <c r="E120" s="178"/>
      <c r="F120" s="176"/>
    </row>
    <row r="121" spans="1:6" x14ac:dyDescent="0.2">
      <c r="A121" s="176"/>
      <c r="B121" s="177"/>
      <c r="C121" s="176" t="s">
        <v>2406</v>
      </c>
      <c r="D121" s="176" t="str">
        <f>"Type besoin d'aide actuel : transports"</f>
        <v>Type besoin d'aide actuel : transports</v>
      </c>
      <c r="E121" s="178"/>
      <c r="F121" s="176"/>
    </row>
    <row r="122" spans="1:6" x14ac:dyDescent="0.2">
      <c r="A122" s="176"/>
      <c r="B122" s="177"/>
      <c r="C122" s="176" t="s">
        <v>2407</v>
      </c>
      <c r="D122" s="176" t="str">
        <f>"Type besoin d'aide actuel : aide aux travaux ménagers"</f>
        <v>Type besoin d'aide actuel : aide aux travaux ménagers</v>
      </c>
      <c r="E122" s="178"/>
      <c r="F122" s="176"/>
    </row>
    <row r="123" spans="1:6" x14ac:dyDescent="0.2">
      <c r="A123" s="176"/>
      <c r="B123" s="177"/>
      <c r="C123" s="176" t="s">
        <v>2408</v>
      </c>
      <c r="D123" s="176" t="str">
        <f>"Type besoin d'aide actuel : soins médicaux"</f>
        <v>Type besoin d'aide actuel : soins médicaux</v>
      </c>
      <c r="E123" s="178"/>
      <c r="F123" s="176"/>
    </row>
    <row r="124" spans="1:6" x14ac:dyDescent="0.2">
      <c r="A124" s="176"/>
      <c r="B124" s="177"/>
      <c r="C124" s="176" t="s">
        <v>2409</v>
      </c>
      <c r="D124" s="176" t="str">
        <f>"Type besoin d'aide actuel : prise en charge autres membres de la famille"</f>
        <v>Type besoin d'aide actuel : prise en charge autres membres de la famille</v>
      </c>
      <c r="E124" s="178"/>
      <c r="F124" s="176"/>
    </row>
    <row r="125" spans="1:6" x14ac:dyDescent="0.2">
      <c r="A125" s="176"/>
      <c r="B125" s="177"/>
      <c r="C125" s="176" t="s">
        <v>2410</v>
      </c>
      <c r="D125" s="176" t="str">
        <f>"Type besoin d'aide actuel : autre"</f>
        <v>Type besoin d'aide actuel : autre</v>
      </c>
      <c r="E125" s="178"/>
      <c r="F125" s="176"/>
    </row>
    <row r="126" spans="1:6" x14ac:dyDescent="0.2">
      <c r="A126" s="176"/>
      <c r="B126" s="177"/>
      <c r="C126" s="176" t="s">
        <v>2411</v>
      </c>
      <c r="D126" s="176" t="str">
        <f>"Recours à une organisation"</f>
        <v>Recours à une organisation</v>
      </c>
      <c r="E126" s="178"/>
      <c r="F126" s="176"/>
    </row>
    <row r="127" spans="1:6" x14ac:dyDescent="0.2">
      <c r="A127" s="176"/>
      <c r="B127" s="177"/>
      <c r="C127" s="176" t="s">
        <v>2412</v>
      </c>
      <c r="D127" s="176" t="str">
        <f>"Recours à une organisation : sait où s'adresser"</f>
        <v>Recours à une organisation : sait où s'adresser</v>
      </c>
      <c r="E127" s="178"/>
      <c r="F127" s="176"/>
    </row>
    <row r="128" spans="1:6" x14ac:dyDescent="0.2">
      <c r="A128" s="176"/>
      <c r="B128" s="177"/>
      <c r="C128" s="176" t="s">
        <v>2413</v>
      </c>
      <c r="D128" s="176" t="str">
        <f>"Assurance-accident"</f>
        <v>Assurance-accident</v>
      </c>
      <c r="E128" s="178"/>
      <c r="F128" s="176"/>
    </row>
    <row r="129" spans="1:6" x14ac:dyDescent="0.2">
      <c r="A129" s="176"/>
      <c r="B129" s="177"/>
      <c r="C129" s="176" t="s">
        <v>2414</v>
      </c>
      <c r="D129" s="176" t="str">
        <f>"Personnes handicapées : aide à domicile"</f>
        <v>Personnes handicapées : aide à domicile</v>
      </c>
      <c r="E129" s="178"/>
      <c r="F129" s="176"/>
    </row>
    <row r="130" spans="1:6" x14ac:dyDescent="0.2">
      <c r="A130" s="176"/>
      <c r="B130" s="177"/>
      <c r="C130" s="176" t="s">
        <v>2415</v>
      </c>
      <c r="D130" s="176" t="str">
        <f>"Personnes 60+ ans : résidence pour personnes âgées"</f>
        <v>Personnes 60+ ans : résidence pour personnes âgées</v>
      </c>
      <c r="E130" s="178"/>
      <c r="F130" s="176"/>
    </row>
    <row r="131" spans="1:6" x14ac:dyDescent="0.2">
      <c r="A131" s="176"/>
      <c r="B131" s="177"/>
      <c r="C131" s="176" t="s">
        <v>2416</v>
      </c>
      <c r="D131" s="176" t="str">
        <f>"Personnes 60+ ans : escalier pour atteindre le logement"</f>
        <v>Personnes 60+ ans : escalier pour atteindre le logement</v>
      </c>
      <c r="E131" s="178"/>
      <c r="F131" s="176"/>
    </row>
    <row r="132" spans="1:6" x14ac:dyDescent="0.2">
      <c r="A132" s="176"/>
      <c r="B132" s="177"/>
      <c r="C132" s="176" t="s">
        <v>2417</v>
      </c>
      <c r="D132" s="176" t="str">
        <f>"Personnes 60+ ans : pièces principales sur le même étage"</f>
        <v>Personnes 60+ ans : pièces principales sur le même étage</v>
      </c>
      <c r="E132" s="178"/>
      <c r="F132" s="176"/>
    </row>
    <row r="133" spans="1:6" x14ac:dyDescent="0.2">
      <c r="A133" s="176"/>
      <c r="B133" s="177"/>
      <c r="C133" s="176" t="s">
        <v>2418</v>
      </c>
      <c r="D133" s="176" t="str">
        <f>"Membre d'association, club"</f>
        <v>Membre d'association, club</v>
      </c>
      <c r="E133" s="178"/>
      <c r="F133" s="176"/>
    </row>
    <row r="134" spans="1:6" x14ac:dyDescent="0.2">
      <c r="A134" s="176"/>
      <c r="B134" s="177"/>
      <c r="C134" s="176" t="s">
        <v>2419</v>
      </c>
      <c r="D134" s="176" t="str">
        <f>"Regret de ne pas avoir 1 tiers à qui parler de problèmes personnels"</f>
        <v>Regret de ne pas avoir 1 tiers à qui parler de problèmes personnels</v>
      </c>
      <c r="E134" s="178"/>
      <c r="F134" s="176"/>
    </row>
    <row r="135" spans="1:6" x14ac:dyDescent="0.2">
      <c r="A135" s="176"/>
      <c r="B135" s="177"/>
      <c r="C135" s="176" t="s">
        <v>2420</v>
      </c>
      <c r="D135" s="176" t="str">
        <f>"Activité physique transpiration dans les loisirs 1 fois/semaine"</f>
        <v>Activité physique transpiration dans les loisirs 1 fois/semaine</v>
      </c>
      <c r="E135" s="178"/>
      <c r="F135" s="176"/>
    </row>
    <row r="136" spans="1:6" x14ac:dyDescent="0.2">
      <c r="A136" s="176"/>
      <c r="B136" s="177"/>
      <c r="C136" s="176" t="s">
        <v>2421</v>
      </c>
      <c r="D136" s="176" t="str">
        <f>"Tension artérielle élevée : alimentation moins salée"</f>
        <v>Tension artérielle élevée : alimentation moins salée</v>
      </c>
      <c r="E136" s="178"/>
      <c r="F136" s="176"/>
    </row>
    <row r="137" spans="1:6" x14ac:dyDescent="0.2">
      <c r="A137" s="176"/>
      <c r="B137" s="177"/>
      <c r="C137" s="176" t="s">
        <v>2422</v>
      </c>
      <c r="D137" s="176" t="str">
        <f>"Tension artérielle : régime particulier"</f>
        <v>Tension artérielle : régime particulier</v>
      </c>
      <c r="E137" s="178"/>
      <c r="F137" s="176"/>
    </row>
    <row r="138" spans="1:6" x14ac:dyDescent="0.2">
      <c r="A138" s="176"/>
      <c r="B138" s="177"/>
      <c r="C138" s="176" t="s">
        <v>2423</v>
      </c>
      <c r="D138" s="178" t="s">
        <v>2424</v>
      </c>
      <c r="E138" s="178"/>
      <c r="F138" s="176"/>
    </row>
    <row r="139" spans="1:6" x14ac:dyDescent="0.2">
      <c r="A139" s="176"/>
      <c r="B139" s="177"/>
      <c r="C139" s="176" t="s">
        <v>2425</v>
      </c>
      <c r="D139" s="176" t="str">
        <f>"Cholestérol : régime particulier"</f>
        <v>Cholestérol : régime particulier</v>
      </c>
      <c r="E139" s="178"/>
      <c r="F139" s="176"/>
    </row>
    <row r="140" spans="1:6" x14ac:dyDescent="0.2">
      <c r="A140" s="176"/>
      <c r="B140" s="177"/>
      <c r="C140" s="176" t="s">
        <v>2426</v>
      </c>
      <c r="D140" s="176" t="str">
        <f>"Port de lunettes ou lentilles"</f>
        <v>Port de lunettes ou lentilles</v>
      </c>
      <c r="E140" s="178"/>
      <c r="F140" s="176"/>
    </row>
    <row r="141" spans="1:6" x14ac:dyDescent="0.2">
      <c r="A141" s="176"/>
      <c r="B141" s="177"/>
      <c r="C141" s="176" t="s">
        <v>2427</v>
      </c>
      <c r="D141" s="176" t="str">
        <f>"Moyen auxiliaire pour la vue : lunettes, lentilles"</f>
        <v>Moyen auxiliaire pour la vue : lunettes, lentilles</v>
      </c>
      <c r="E141" s="178"/>
      <c r="F141" s="176"/>
    </row>
    <row r="142" spans="1:6" x14ac:dyDescent="0.2">
      <c r="A142" s="176"/>
      <c r="B142" s="177"/>
      <c r="C142" s="176" t="s">
        <v>2428</v>
      </c>
      <c r="D142" s="176" t="str">
        <f>"Moyen auxiliaire pour la vue : verres grossissants"</f>
        <v>Moyen auxiliaire pour la vue : verres grossissants</v>
      </c>
      <c r="E142" s="178"/>
      <c r="F142" s="176"/>
    </row>
    <row r="143" spans="1:6" x14ac:dyDescent="0.2">
      <c r="A143" s="176"/>
      <c r="B143" s="177"/>
      <c r="C143" s="176" t="s">
        <v>2429</v>
      </c>
      <c r="D143" s="176" t="str">
        <f>"Moyen auxiliaire pour la vue : appareil de lecture"</f>
        <v>Moyen auxiliaire pour la vue : appareil de lecture</v>
      </c>
      <c r="E143" s="178"/>
      <c r="F143" s="176"/>
    </row>
    <row r="144" spans="1:6" x14ac:dyDescent="0.2">
      <c r="A144" s="176"/>
      <c r="B144" s="177"/>
      <c r="C144" s="176" t="s">
        <v>2430</v>
      </c>
      <c r="D144" s="176" t="str">
        <f>"Moyen auxiliaire pour la vue : enregistreur/magnétophone"</f>
        <v>Moyen auxiliaire pour la vue : enregistreur/magnétophone</v>
      </c>
      <c r="E144" s="178"/>
      <c r="F144" s="176"/>
    </row>
    <row r="145" spans="1:6" x14ac:dyDescent="0.2">
      <c r="A145" s="176"/>
      <c r="B145" s="177"/>
      <c r="C145" s="176" t="s">
        <v>2431</v>
      </c>
      <c r="D145" s="176" t="str">
        <f>"Moyen auxiliaire pour la vue : infrastructure pour écriture Braille"</f>
        <v>Moyen auxiliaire pour la vue : infrastructure pour écriture Braille</v>
      </c>
      <c r="E145" s="178"/>
      <c r="F145" s="176"/>
    </row>
    <row r="146" spans="1:6" x14ac:dyDescent="0.2">
      <c r="A146" s="176"/>
      <c r="B146" s="177"/>
      <c r="C146" s="176" t="s">
        <v>2432</v>
      </c>
      <c r="D146" s="176" t="str">
        <f>"Moyen auxiliaire pour la vue : machine à écrire"</f>
        <v>Moyen auxiliaire pour la vue : machine à écrire</v>
      </c>
      <c r="E146" s="178"/>
      <c r="F146" s="176"/>
    </row>
    <row r="147" spans="1:6" x14ac:dyDescent="0.2">
      <c r="A147" s="176"/>
      <c r="B147" s="177"/>
      <c r="C147" s="176" t="s">
        <v>2433</v>
      </c>
      <c r="D147" s="176" t="str">
        <f>"Moyen auxiliaire pour la vue : canne blanche"</f>
        <v>Moyen auxiliaire pour la vue : canne blanche</v>
      </c>
      <c r="E147" s="178"/>
      <c r="F147" s="176"/>
    </row>
    <row r="148" spans="1:6" x14ac:dyDescent="0.2">
      <c r="A148" s="176"/>
      <c r="B148" s="177"/>
      <c r="C148" s="176" t="s">
        <v>2434</v>
      </c>
      <c r="D148" s="176" t="str">
        <f>"Moyen auxiliaire pour la vue : chien d'aveugle"</f>
        <v>Moyen auxiliaire pour la vue : chien d'aveugle</v>
      </c>
      <c r="E148" s="178"/>
      <c r="F148" s="176"/>
    </row>
    <row r="149" spans="1:6" x14ac:dyDescent="0.2">
      <c r="A149" s="176"/>
      <c r="B149" s="177"/>
      <c r="C149" s="176" t="s">
        <v>2435</v>
      </c>
      <c r="D149" s="176" t="str">
        <f>"Moyen auxiliaire pour la vue : autre"</f>
        <v>Moyen auxiliaire pour la vue : autre</v>
      </c>
      <c r="E149" s="178"/>
      <c r="F149" s="176"/>
    </row>
    <row r="150" spans="1:6" x14ac:dyDescent="0.2">
      <c r="A150" s="176"/>
      <c r="B150" s="177"/>
      <c r="C150" s="176" t="s">
        <v>2436</v>
      </c>
      <c r="D150" s="176" t="str">
        <f>"Besoin d'un moyen auxiliaire pour la vue"</f>
        <v>Besoin d'un moyen auxiliaire pour la vue</v>
      </c>
      <c r="E150" s="178"/>
      <c r="F150" s="176"/>
    </row>
    <row r="151" spans="1:6" x14ac:dyDescent="0.2">
      <c r="A151" s="176"/>
      <c r="B151" s="177"/>
      <c r="C151" s="176" t="s">
        <v>2437</v>
      </c>
      <c r="D151" s="176" t="str">
        <f>"Besoin d'un moyen auxiliaire pour la vue : lunettes, lentilles"</f>
        <v>Besoin d'un moyen auxiliaire pour la vue : lunettes, lentilles</v>
      </c>
      <c r="E151" s="178"/>
      <c r="F151" s="176"/>
    </row>
    <row r="152" spans="1:6" x14ac:dyDescent="0.2">
      <c r="A152" s="176"/>
      <c r="B152" s="177"/>
      <c r="C152" s="176" t="s">
        <v>2438</v>
      </c>
      <c r="D152" s="176" t="str">
        <f>"Besoin d'un moyen auxiliaire pour la vue : verres grossissants"</f>
        <v>Besoin d'un moyen auxiliaire pour la vue : verres grossissants</v>
      </c>
      <c r="E152" s="178"/>
      <c r="F152" s="176"/>
    </row>
    <row r="153" spans="1:6" x14ac:dyDescent="0.2">
      <c r="A153" s="176"/>
      <c r="B153" s="177"/>
      <c r="C153" s="176" t="s">
        <v>2439</v>
      </c>
      <c r="D153" s="176" t="str">
        <f>"Besoin d'un moyen auxiliaire pour la vue : appareil de lecture"</f>
        <v>Besoin d'un moyen auxiliaire pour la vue : appareil de lecture</v>
      </c>
      <c r="E153" s="178"/>
      <c r="F153" s="176"/>
    </row>
    <row r="154" spans="1:6" x14ac:dyDescent="0.2">
      <c r="A154" s="176"/>
      <c r="B154" s="177"/>
      <c r="C154" s="176" t="s">
        <v>2440</v>
      </c>
      <c r="D154" s="176" t="str">
        <f>"Besoin d'un moyen auxiliaire pour la vue : enregistreur/magnétophone"</f>
        <v>Besoin d'un moyen auxiliaire pour la vue : enregistreur/magnétophone</v>
      </c>
      <c r="E154" s="178"/>
      <c r="F154" s="176"/>
    </row>
    <row r="155" spans="1:6" x14ac:dyDescent="0.2">
      <c r="A155" s="176"/>
      <c r="B155" s="177"/>
      <c r="C155" s="176" t="s">
        <v>2441</v>
      </c>
      <c r="D155" s="176" t="str">
        <f>"Besoin d'un moyen auxiliaire pour la vue : infrastructure pour écriture Braille"</f>
        <v>Besoin d'un moyen auxiliaire pour la vue : infrastructure pour écriture Braille</v>
      </c>
      <c r="E155" s="178"/>
      <c r="F155" s="176"/>
    </row>
    <row r="156" spans="1:6" x14ac:dyDescent="0.2">
      <c r="A156" s="176"/>
      <c r="B156" s="177"/>
      <c r="C156" s="176" t="s">
        <v>2442</v>
      </c>
      <c r="D156" s="176" t="str">
        <f>"Besoin d'un moyen auxiliaire pour la vue : machine à écrire"</f>
        <v>Besoin d'un moyen auxiliaire pour la vue : machine à écrire</v>
      </c>
      <c r="E156" s="178"/>
      <c r="F156" s="176"/>
    </row>
    <row r="157" spans="1:6" x14ac:dyDescent="0.2">
      <c r="A157" s="176"/>
      <c r="B157" s="177"/>
      <c r="C157" s="176" t="s">
        <v>2443</v>
      </c>
      <c r="D157" s="176" t="str">
        <f>"Besoin d'un moyen auxiliaire pour la vue : canne blanche"</f>
        <v>Besoin d'un moyen auxiliaire pour la vue : canne blanche</v>
      </c>
      <c r="E157" s="178"/>
      <c r="F157" s="176"/>
    </row>
    <row r="158" spans="1:6" x14ac:dyDescent="0.2">
      <c r="A158" s="176"/>
      <c r="B158" s="177"/>
      <c r="C158" s="176" t="s">
        <v>2444</v>
      </c>
      <c r="D158" s="176" t="str">
        <f>"Besoin d'un moyen auxiliaire pour la vue : chien d'aveugle"</f>
        <v>Besoin d'un moyen auxiliaire pour la vue : chien d'aveugle</v>
      </c>
      <c r="E158" s="178"/>
      <c r="F158" s="176"/>
    </row>
    <row r="159" spans="1:6" x14ac:dyDescent="0.2">
      <c r="A159" s="176"/>
      <c r="B159" s="177"/>
      <c r="C159" s="176" t="s">
        <v>2445</v>
      </c>
      <c r="D159" s="176" t="str">
        <f>"Besoin d'un moyen auxiliaire pour la vue : autre"</f>
        <v>Besoin d'un moyen auxiliaire pour la vue : autre</v>
      </c>
      <c r="E159" s="178"/>
      <c r="F159" s="176"/>
    </row>
    <row r="160" spans="1:6" x14ac:dyDescent="0.2">
      <c r="A160" s="176"/>
      <c r="B160" s="177"/>
      <c r="C160" s="176" t="s">
        <v>2446</v>
      </c>
      <c r="D160" s="176" t="str">
        <f>"Utilisation appareil auditif"</f>
        <v>Utilisation appareil auditif</v>
      </c>
      <c r="E160" s="178"/>
      <c r="F160" s="176"/>
    </row>
    <row r="161" spans="1:6" x14ac:dyDescent="0.2">
      <c r="A161" s="176"/>
      <c r="B161" s="177"/>
      <c r="C161" s="176" t="s">
        <v>2447</v>
      </c>
      <c r="D161" s="176" t="str">
        <f>"Moyen auxiliaire pour l'ouïe : appareil auditif"</f>
        <v>Moyen auxiliaire pour l'ouïe : appareil auditif</v>
      </c>
      <c r="E161" s="178"/>
      <c r="F161" s="176"/>
    </row>
    <row r="162" spans="1:6" x14ac:dyDescent="0.2">
      <c r="A162" s="176"/>
      <c r="B162" s="177"/>
      <c r="C162" s="176" t="s">
        <v>2448</v>
      </c>
      <c r="D162" s="176" t="str">
        <f>"Moyen auxiliaire pour l'ouïe : implant de Cochlea"</f>
        <v>Moyen auxiliaire pour l'ouïe : implant de Cochlea</v>
      </c>
      <c r="E162" s="178"/>
      <c r="F162" s="176"/>
    </row>
    <row r="163" spans="1:6" x14ac:dyDescent="0.2">
      <c r="A163" s="176"/>
      <c r="B163" s="177"/>
      <c r="C163" s="176" t="s">
        <v>2449</v>
      </c>
      <c r="D163" s="176" t="str">
        <f>"Moyen auxiliaire pour l'ouïe : vidéotex, télétexte, téléfax"</f>
        <v>Moyen auxiliaire pour l'ouïe : vidéotex, télétexte, téléfax</v>
      </c>
      <c r="E163" s="178"/>
      <c r="F163" s="176"/>
    </row>
    <row r="164" spans="1:6" x14ac:dyDescent="0.2">
      <c r="A164" s="176"/>
      <c r="B164" s="177"/>
      <c r="C164" s="176" t="s">
        <v>2450</v>
      </c>
      <c r="D164" s="176" t="str">
        <f>"Moyen auxiliaire pour l'ouïe : sous-titre à la TV"</f>
        <v>Moyen auxiliaire pour l'ouïe : sous-titre à la TV</v>
      </c>
      <c r="E164" s="178"/>
      <c r="F164" s="176"/>
    </row>
    <row r="165" spans="1:6" x14ac:dyDescent="0.2">
      <c r="A165" s="176"/>
      <c r="B165" s="177"/>
      <c r="C165" s="176" t="s">
        <v>2451</v>
      </c>
      <c r="D165" s="176" t="str">
        <f>"Moyen auxiliaire pour l'ouïe : appareil émetteurs de signaux"</f>
        <v>Moyen auxiliaire pour l'ouïe : appareil émetteurs de signaux</v>
      </c>
      <c r="E165" s="178"/>
      <c r="F165" s="176"/>
    </row>
    <row r="166" spans="1:6" x14ac:dyDescent="0.2">
      <c r="A166" s="176"/>
      <c r="B166" s="177"/>
      <c r="C166" s="176" t="s">
        <v>2452</v>
      </c>
      <c r="D166" s="176" t="str">
        <f>"Moyen auxiliaire pour l'ouïe : téléphone pour malentendants"</f>
        <v>Moyen auxiliaire pour l'ouïe : téléphone pour malentendants</v>
      </c>
      <c r="E166" s="178"/>
      <c r="F166" s="176"/>
    </row>
    <row r="167" spans="1:6" x14ac:dyDescent="0.2">
      <c r="A167" s="176"/>
      <c r="B167" s="177"/>
      <c r="C167" s="176" t="s">
        <v>2453</v>
      </c>
      <c r="D167" s="176" t="str">
        <f>"Moyen auxiliaire pour l'ouïe : installation auditive FM/système à alarme"</f>
        <v>Moyen auxiliaire pour l'ouïe : installation auditive FM/système à alarme</v>
      </c>
      <c r="E167" s="178"/>
      <c r="F167" s="176"/>
    </row>
    <row r="168" spans="1:6" x14ac:dyDescent="0.2">
      <c r="A168" s="176"/>
      <c r="B168" s="177"/>
      <c r="C168" s="176" t="s">
        <v>2454</v>
      </c>
      <c r="D168" s="176" t="str">
        <f>"Moyen auxiliaire pour l'ouïe : autre"</f>
        <v>Moyen auxiliaire pour l'ouïe : autre</v>
      </c>
      <c r="E168" s="178"/>
      <c r="F168" s="176"/>
    </row>
    <row r="169" spans="1:6" x14ac:dyDescent="0.2">
      <c r="A169" s="176"/>
      <c r="B169" s="177"/>
      <c r="C169" s="176" t="s">
        <v>2455</v>
      </c>
      <c r="D169" s="176" t="str">
        <f>"Besoin d'un moyen auxiliaire pour l'ouïe"</f>
        <v>Besoin d'un moyen auxiliaire pour l'ouïe</v>
      </c>
      <c r="E169" s="178"/>
      <c r="F169" s="176"/>
    </row>
    <row r="170" spans="1:6" x14ac:dyDescent="0.2">
      <c r="A170" s="176"/>
      <c r="B170" s="177"/>
      <c r="C170" s="176" t="s">
        <v>2456</v>
      </c>
      <c r="D170" s="176" t="str">
        <f>"Besoin d'un moyen auxiliaire pour l'ouïe : appareil auditif"</f>
        <v>Besoin d'un moyen auxiliaire pour l'ouïe : appareil auditif</v>
      </c>
      <c r="E170" s="178"/>
      <c r="F170" s="176"/>
    </row>
    <row r="171" spans="1:6" x14ac:dyDescent="0.2">
      <c r="A171" s="176"/>
      <c r="B171" s="177"/>
      <c r="C171" s="176" t="s">
        <v>2457</v>
      </c>
      <c r="D171" s="176" t="str">
        <f>"Besoin d'un moyen auxiliaire pour l'ouïe : implant de Cochlea"</f>
        <v>Besoin d'un moyen auxiliaire pour l'ouïe : implant de Cochlea</v>
      </c>
      <c r="E171" s="178"/>
      <c r="F171" s="176"/>
    </row>
    <row r="172" spans="1:6" x14ac:dyDescent="0.2">
      <c r="A172" s="176"/>
      <c r="B172" s="177"/>
      <c r="C172" s="176" t="s">
        <v>2458</v>
      </c>
      <c r="D172" s="176" t="str">
        <f>"Besoin d'un moyen auxiliaire pour l'ouïe : vidéotex, télétexte, téléfax"</f>
        <v>Besoin d'un moyen auxiliaire pour l'ouïe : vidéotex, télétexte, téléfax</v>
      </c>
      <c r="E172" s="178"/>
      <c r="F172" s="176"/>
    </row>
    <row r="173" spans="1:6" x14ac:dyDescent="0.2">
      <c r="A173" s="176"/>
      <c r="B173" s="177"/>
      <c r="C173" s="176" t="s">
        <v>2459</v>
      </c>
      <c r="D173" s="176" t="str">
        <f>"Besoin d'un moyen auxiliaire pour l'ouïe : sous-titre à la TV"</f>
        <v>Besoin d'un moyen auxiliaire pour l'ouïe : sous-titre à la TV</v>
      </c>
      <c r="E173" s="178"/>
      <c r="F173" s="176"/>
    </row>
    <row r="174" spans="1:6" x14ac:dyDescent="0.2">
      <c r="A174" s="176"/>
      <c r="B174" s="177"/>
      <c r="C174" s="176" t="s">
        <v>2460</v>
      </c>
      <c r="D174" s="176" t="str">
        <f>"Besoin d'un moyen auxiliaire pour l'ouïe : appareil émetteurs de signaux"</f>
        <v>Besoin d'un moyen auxiliaire pour l'ouïe : appareil émetteurs de signaux</v>
      </c>
      <c r="E174" s="178"/>
      <c r="F174" s="176"/>
    </row>
    <row r="175" spans="1:6" x14ac:dyDescent="0.2">
      <c r="A175" s="176"/>
      <c r="B175" s="177"/>
      <c r="C175" s="176" t="s">
        <v>2461</v>
      </c>
      <c r="D175" s="176" t="str">
        <f>"Besoin d'un moyen auxiliaire pour l'ouïe : téléphone pour malentendants"</f>
        <v>Besoin d'un moyen auxiliaire pour l'ouïe : téléphone pour malentendants</v>
      </c>
      <c r="E175" s="178"/>
      <c r="F175" s="176"/>
    </row>
    <row r="176" spans="1:6" x14ac:dyDescent="0.2">
      <c r="A176" s="176"/>
      <c r="B176" s="177"/>
      <c r="C176" s="176" t="s">
        <v>2462</v>
      </c>
      <c r="D176" s="176" t="str">
        <f>"Besoin d'un moyen auxiliaire pour l'ouïe : installation auditive FM/système à alarme"</f>
        <v>Besoin d'un moyen auxiliaire pour l'ouïe : installation auditive FM/système à alarme</v>
      </c>
      <c r="E176" s="178"/>
      <c r="F176" s="176"/>
    </row>
    <row r="177" spans="1:6" x14ac:dyDescent="0.2">
      <c r="A177" s="176"/>
      <c r="B177" s="177"/>
      <c r="C177" s="176" t="s">
        <v>2463</v>
      </c>
      <c r="D177" s="176" t="str">
        <f>"Besoin d'un moyen auxiliaire pour l'ouïe : autre"</f>
        <v>Besoin d'un moyen auxiliaire pour l'ouïe : autre</v>
      </c>
      <c r="E177" s="178"/>
      <c r="F177" s="176"/>
    </row>
    <row r="178" spans="1:6" x14ac:dyDescent="0.2">
      <c r="A178" s="176"/>
      <c r="B178" s="177"/>
      <c r="C178" s="176" t="s">
        <v>2464</v>
      </c>
      <c r="D178" s="176" t="str">
        <f>"Confiné au lit"</f>
        <v>Confiné au lit</v>
      </c>
      <c r="E178" s="178"/>
      <c r="F178" s="176"/>
    </row>
    <row r="179" spans="1:6" x14ac:dyDescent="0.2">
      <c r="A179" s="176"/>
      <c r="B179" s="177"/>
      <c r="C179" s="176" t="s">
        <v>2465</v>
      </c>
      <c r="D179" s="176" t="str">
        <f>"Moyen auxiliaire pour se déplacer : chaussures orthopédiques"</f>
        <v>Moyen auxiliaire pour se déplacer : chaussures orthopédiques</v>
      </c>
      <c r="E179" s="178"/>
      <c r="F179" s="176"/>
    </row>
    <row r="180" spans="1:6" x14ac:dyDescent="0.2">
      <c r="A180" s="176"/>
      <c r="B180" s="177"/>
      <c r="C180" s="176" t="s">
        <v>2466</v>
      </c>
      <c r="D180" s="176" t="str">
        <f>"Moyen auxiliaire pour se déplacer : prothèse"</f>
        <v>Moyen auxiliaire pour se déplacer : prothèse</v>
      </c>
      <c r="E180" s="178"/>
      <c r="F180" s="176"/>
    </row>
    <row r="181" spans="1:6" x14ac:dyDescent="0.2">
      <c r="A181" s="176"/>
      <c r="B181" s="177"/>
      <c r="C181" s="176" t="s">
        <v>2467</v>
      </c>
      <c r="D181" s="176" t="str">
        <f>"Moyen auxiliaire pour se déplacer : canne"</f>
        <v>Moyen auxiliaire pour se déplacer : canne</v>
      </c>
      <c r="E181" s="178"/>
      <c r="F181" s="176"/>
    </row>
    <row r="182" spans="1:6" x14ac:dyDescent="0.2">
      <c r="A182" s="176"/>
      <c r="B182" s="177"/>
      <c r="C182" s="176" t="s">
        <v>2468</v>
      </c>
      <c r="D182" s="176" t="str">
        <f>"Moyen auxiliaire pour se déplacer : béquilles"</f>
        <v>Moyen auxiliaire pour se déplacer : béquilles</v>
      </c>
      <c r="E182" s="178"/>
      <c r="F182" s="176"/>
    </row>
    <row r="183" spans="1:6" x14ac:dyDescent="0.2">
      <c r="A183" s="176"/>
      <c r="B183" s="177"/>
      <c r="C183" s="176" t="s">
        <v>2469</v>
      </c>
      <c r="D183" s="176" t="str">
        <f>"Moyen auxiliaire pour se déplacer : chaise roulante"</f>
        <v>Moyen auxiliaire pour se déplacer : chaise roulante</v>
      </c>
      <c r="E183" s="178"/>
      <c r="F183" s="176"/>
    </row>
    <row r="184" spans="1:6" x14ac:dyDescent="0.2">
      <c r="A184" s="176"/>
      <c r="B184" s="177"/>
      <c r="C184" s="176" t="s">
        <v>2470</v>
      </c>
      <c r="D184" s="176" t="str">
        <f>"Moyen auxiliaire pour se déplacer : voiture, moto aménagée"</f>
        <v>Moyen auxiliaire pour se déplacer : voiture, moto aménagée</v>
      </c>
      <c r="E184" s="178"/>
      <c r="F184" s="176"/>
    </row>
    <row r="185" spans="1:6" x14ac:dyDescent="0.2">
      <c r="A185" s="176"/>
      <c r="B185" s="177"/>
      <c r="C185" s="176" t="s">
        <v>2471</v>
      </c>
      <c r="D185" s="176" t="str">
        <f>"Moyen auxiliaire pour se déplacer : autre"</f>
        <v>Moyen auxiliaire pour se déplacer : autre</v>
      </c>
      <c r="E185" s="178"/>
      <c r="F185" s="176"/>
    </row>
    <row r="186" spans="1:6" x14ac:dyDescent="0.2">
      <c r="A186" s="176"/>
      <c r="B186" s="177"/>
      <c r="C186" s="176" t="s">
        <v>2472</v>
      </c>
      <c r="D186" s="176" t="str">
        <f>"Besoin d'un moyen auxiliaire pour se déplacer"</f>
        <v>Besoin d'un moyen auxiliaire pour se déplacer</v>
      </c>
      <c r="E186" s="178"/>
      <c r="F186" s="176"/>
    </row>
    <row r="187" spans="1:6" x14ac:dyDescent="0.2">
      <c r="A187" s="176"/>
      <c r="B187" s="177"/>
      <c r="C187" s="176" t="s">
        <v>2473</v>
      </c>
      <c r="D187" s="176" t="str">
        <f>"Besoin d'un moyen auxiliaire pour se déplacer : chaussures orthopédiques"</f>
        <v>Besoin d'un moyen auxiliaire pour se déplacer : chaussures orthopédiques</v>
      </c>
      <c r="E187" s="178"/>
      <c r="F187" s="176"/>
    </row>
    <row r="188" spans="1:6" x14ac:dyDescent="0.2">
      <c r="A188" s="176"/>
      <c r="B188" s="177"/>
      <c r="C188" s="176" t="s">
        <v>2474</v>
      </c>
      <c r="D188" s="176" t="str">
        <f>"Besoin d'un moyen auxiliaire pour se déplacer : prothèse"</f>
        <v>Besoin d'un moyen auxiliaire pour se déplacer : prothèse</v>
      </c>
      <c r="E188" s="178"/>
      <c r="F188" s="176"/>
    </row>
    <row r="189" spans="1:6" x14ac:dyDescent="0.2">
      <c r="A189" s="176"/>
      <c r="B189" s="177"/>
      <c r="C189" s="176" t="s">
        <v>2475</v>
      </c>
      <c r="D189" s="176" t="str">
        <f>"Besoin d'un moyen auxiliaire pour se déplacer : canne"</f>
        <v>Besoin d'un moyen auxiliaire pour se déplacer : canne</v>
      </c>
      <c r="E189" s="178"/>
      <c r="F189" s="176"/>
    </row>
    <row r="190" spans="1:6" x14ac:dyDescent="0.2">
      <c r="A190" s="176"/>
      <c r="B190" s="177"/>
      <c r="C190" s="176" t="s">
        <v>2476</v>
      </c>
      <c r="D190" s="176" t="str">
        <f>"Besoin d'un moyen auxiliaire pour se déplacer : béquilles"</f>
        <v>Besoin d'un moyen auxiliaire pour se déplacer : béquilles</v>
      </c>
      <c r="E190" s="178"/>
      <c r="F190" s="176"/>
    </row>
    <row r="191" spans="1:6" x14ac:dyDescent="0.2">
      <c r="A191" s="176"/>
      <c r="B191" s="177"/>
      <c r="C191" s="176" t="s">
        <v>2477</v>
      </c>
      <c r="D191" s="176" t="str">
        <f>"Besoin d'un moyen auxiliaire pour se déplacer : chaise roulante"</f>
        <v>Besoin d'un moyen auxiliaire pour se déplacer : chaise roulante</v>
      </c>
      <c r="E191" s="178"/>
      <c r="F191" s="176"/>
    </row>
    <row r="192" spans="1:6" x14ac:dyDescent="0.2">
      <c r="A192" s="176"/>
      <c r="B192" s="177"/>
      <c r="C192" s="176" t="s">
        <v>2478</v>
      </c>
      <c r="D192" s="176" t="str">
        <f>"Besoin d'un moyen auxiliaire pour se déplacer : voiture, moto aménagée"</f>
        <v>Besoin d'un moyen auxiliaire pour se déplacer : voiture, moto aménagée</v>
      </c>
      <c r="E192" s="178"/>
      <c r="F192" s="176"/>
    </row>
    <row r="193" spans="1:6" x14ac:dyDescent="0.2">
      <c r="A193" s="176"/>
      <c r="B193" s="177"/>
      <c r="C193" s="176" t="s">
        <v>2479</v>
      </c>
      <c r="D193" s="176" t="str">
        <f>"Besoin d'un moyen auxiliaire pour se déplacer : autre"</f>
        <v>Besoin d'un moyen auxiliaire pour se déplacer : autre</v>
      </c>
      <c r="E193" s="178"/>
      <c r="F193" s="176"/>
    </row>
    <row r="194" spans="1:6" x14ac:dyDescent="0.2">
      <c r="A194" s="176"/>
      <c r="B194" s="177"/>
      <c r="C194" s="176" t="s">
        <v>2480</v>
      </c>
      <c r="D194" s="176" t="str">
        <f>"(H 40+ ans) Examen prostate"</f>
        <v>(H 40+ ans) Examen prostate</v>
      </c>
      <c r="E194" s="178"/>
      <c r="F194" s="176"/>
    </row>
    <row r="195" spans="1:6" x14ac:dyDescent="0.2">
      <c r="A195" s="176"/>
      <c r="B195" s="177"/>
      <c r="C195" s="176" t="s">
        <v>2481</v>
      </c>
      <c r="D195" s="176" t="str">
        <f>"(F 20+ ans) Dépistage cancer col utérus"</f>
        <v>(F 20+ ans) Dépistage cancer col utérus</v>
      </c>
      <c r="E195" s="178"/>
      <c r="F195" s="176"/>
    </row>
    <row r="196" spans="1:6" x14ac:dyDescent="0.2">
      <c r="A196" s="176"/>
      <c r="B196" s="177"/>
      <c r="C196" s="176" t="s">
        <v>2482</v>
      </c>
      <c r="D196" s="176" t="str">
        <f>"(F 20+ ans) Mammographie"</f>
        <v>(F 20+ ans) Mammographie</v>
      </c>
      <c r="E196" s="178"/>
      <c r="F196" s="176"/>
    </row>
    <row r="197" spans="1:6" x14ac:dyDescent="0.2">
      <c r="A197" s="176"/>
      <c r="B197" s="177"/>
      <c r="C197" s="176" t="s">
        <v>2483</v>
      </c>
      <c r="D197" s="176" t="str">
        <f>"(F 20+ ans) Autre contrôle préventif des seins"</f>
        <v>(F 20+ ans) Autre contrôle préventif des seins</v>
      </c>
      <c r="E197" s="178"/>
      <c r="F197" s="176"/>
    </row>
    <row r="198" spans="1:6" x14ac:dyDescent="0.2">
      <c r="A198" s="176"/>
      <c r="B198" s="177"/>
      <c r="C198" s="176" t="s">
        <v>2484</v>
      </c>
      <c r="D198" s="176" t="str">
        <f>"Vit seul"</f>
        <v>Vit seul</v>
      </c>
      <c r="E198" s="178"/>
      <c r="F198" s="176"/>
    </row>
    <row r="199" spans="1:6" x14ac:dyDescent="0.2">
      <c r="A199" s="176"/>
      <c r="B199" s="177"/>
      <c r="C199" s="176" t="s">
        <v>2485</v>
      </c>
      <c r="D199" s="176" t="str">
        <f>"Avez-vous des enfants ?"</f>
        <v>Avez-vous des enfants ?</v>
      </c>
      <c r="E199" s="178"/>
      <c r="F199" s="176"/>
    </row>
    <row r="200" spans="1:6" x14ac:dyDescent="0.2">
      <c r="A200" s="176"/>
      <c r="B200" s="177"/>
      <c r="C200" s="176" t="s">
        <v>2486</v>
      </c>
      <c r="D200" s="176" t="str">
        <f>"Personnes 60+ ans : chutes (12 mois)"</f>
        <v>Personnes 60+ ans : chutes (12 mois)</v>
      </c>
      <c r="E200" s="178"/>
      <c r="F200" s="176"/>
    </row>
    <row r="201" spans="1:6" x14ac:dyDescent="0.2">
      <c r="A201" s="176"/>
      <c r="B201" s="177"/>
      <c r="C201" s="176" t="s">
        <v>2487</v>
      </c>
      <c r="D201" s="176" t="str">
        <f>"Personnes 60+ ans : chutes (12 mois) : à cause d'un vertige"</f>
        <v>Personnes 60+ ans : chutes (12 mois) : à cause d'un vertige</v>
      </c>
      <c r="E201" s="178"/>
      <c r="F201" s="176"/>
    </row>
    <row r="202" spans="1:6" x14ac:dyDescent="0.2">
      <c r="A202" s="176"/>
      <c r="B202" s="177"/>
      <c r="C202" s="176" t="s">
        <v>2488</v>
      </c>
      <c r="D202" s="176" t="str">
        <f>"Personnes 60+ ans : problème de vertige"</f>
        <v>Personnes 60+ ans : problème de vertige</v>
      </c>
      <c r="E202" s="178"/>
      <c r="F202" s="176"/>
    </row>
    <row r="203" spans="1:6" x14ac:dyDescent="0.2">
      <c r="A203" s="176"/>
      <c r="B203" s="177"/>
      <c r="C203" s="176" t="s">
        <v>2489</v>
      </c>
      <c r="D203" s="176" t="str">
        <f>"Personnes 60+ ans : vertiges : limitations dans la vie quotidienne"</f>
        <v>Personnes 60+ ans : vertiges : limitations dans la vie quotidienne</v>
      </c>
      <c r="E203" s="178"/>
      <c r="F203" s="176"/>
    </row>
    <row r="204" spans="1:6" x14ac:dyDescent="0.2">
      <c r="A204" s="176"/>
      <c r="B204" s="177"/>
      <c r="C204" s="176" t="s">
        <v>2490</v>
      </c>
      <c r="D204" s="176" t="str">
        <f>"Personnes handicapées : hôpital de jour, clinique de jour, clinique de nuit (utilisation régulière)"</f>
        <v>Personnes handicapées : hôpital de jour, clinique de jour, clinique de nuit (utilisation régulière)</v>
      </c>
      <c r="E204" s="178"/>
      <c r="F204" s="176"/>
    </row>
    <row r="205" spans="1:6" x14ac:dyDescent="0.2">
      <c r="A205" s="176"/>
      <c r="B205" s="177"/>
      <c r="C205" s="176" t="s">
        <v>2491</v>
      </c>
      <c r="D205" s="176" t="str">
        <f>"Personnes handicapées : institution pour handicapés adultes (utilisation régulière )"</f>
        <v>Personnes handicapées : institution pour handicapés adultes (utilisation régulière )</v>
      </c>
      <c r="E205" s="178"/>
      <c r="F205" s="176"/>
    </row>
    <row r="206" spans="1:6" x14ac:dyDescent="0.2">
      <c r="A206" s="176"/>
      <c r="B206" s="177"/>
      <c r="C206" s="176" t="s">
        <v>2492</v>
      </c>
      <c r="D206" s="176" t="str">
        <f>"Personnes handicapées : écoles spéciales pour enfants et adolescents handicapés (utilisation régulière )"</f>
        <v>Personnes handicapées : écoles spéciales pour enfants et adolescents handicapés (utilisation régulière )</v>
      </c>
      <c r="E206" s="178"/>
      <c r="F206" s="176"/>
    </row>
    <row r="207" spans="1:6" x14ac:dyDescent="0.2">
      <c r="A207" s="176"/>
      <c r="B207" s="177"/>
      <c r="C207" s="176" t="s">
        <v>2493</v>
      </c>
      <c r="D207" s="176" t="str">
        <f>"Personnes handicapées : traitement ambulatoire pour handicapés (utilisation régulière )"</f>
        <v>Personnes handicapées : traitement ambulatoire pour handicapés (utilisation régulière )</v>
      </c>
      <c r="E207" s="178"/>
      <c r="F207" s="176"/>
    </row>
    <row r="208" spans="1:6" x14ac:dyDescent="0.2">
      <c r="A208" s="176"/>
      <c r="B208" s="177"/>
      <c r="C208" s="176" t="s">
        <v>2494</v>
      </c>
      <c r="D208" s="176" t="str">
        <f>"Personnes handicapées : aide financière"</f>
        <v>Personnes handicapées : aide financière</v>
      </c>
      <c r="E208" s="178"/>
      <c r="F208" s="176"/>
    </row>
    <row r="209" spans="1:6" x14ac:dyDescent="0.2">
      <c r="A209" s="176"/>
      <c r="B209" s="177"/>
      <c r="C209" s="176" t="s">
        <v>2495</v>
      </c>
      <c r="D209" s="176" t="str">
        <f>"Prestations personnes 60+ ans (12 mois) : service de repas"</f>
        <v>Prestations personnes 60+ ans (12 mois) : service de repas</v>
      </c>
      <c r="E209" s="178"/>
      <c r="F209" s="176"/>
    </row>
    <row r="210" spans="1:6" x14ac:dyDescent="0.2">
      <c r="A210" s="176"/>
      <c r="B210" s="177"/>
      <c r="C210" s="176" t="s">
        <v>2496</v>
      </c>
      <c r="D210" s="176" t="str">
        <f>"Prestations personnes 60+ ans (12 mois) : aide aux travaux ménagers"</f>
        <v>Prestations personnes 60+ ans (12 mois) : aide aux travaux ménagers</v>
      </c>
      <c r="E210" s="178"/>
      <c r="F210" s="176"/>
    </row>
    <row r="211" spans="1:6" x14ac:dyDescent="0.2">
      <c r="A211" s="176"/>
      <c r="B211" s="177"/>
      <c r="C211" s="176" t="s">
        <v>2497</v>
      </c>
      <c r="D211" s="176" t="str">
        <f>"Prestations personnes 60+ ans (12 mois) : soins à domicile"</f>
        <v>Prestations personnes 60+ ans (12 mois) : soins à domicile</v>
      </c>
      <c r="E211" s="178"/>
      <c r="F211" s="176"/>
    </row>
    <row r="212" spans="1:6" x14ac:dyDescent="0.2">
      <c r="A212" s="176"/>
      <c r="B212" s="177"/>
      <c r="C212" s="176" t="s">
        <v>2498</v>
      </c>
      <c r="D212" s="176" t="str">
        <f>"Prestations personnes 60+ ans (12 mois) : centre de jour"</f>
        <v>Prestations personnes 60+ ans (12 mois) : centre de jour</v>
      </c>
      <c r="E212" s="178"/>
      <c r="F212" s="176"/>
    </row>
    <row r="213" spans="1:6" x14ac:dyDescent="0.2">
      <c r="A213" s="176"/>
      <c r="B213" s="177"/>
      <c r="C213" s="176" t="s">
        <v>2499</v>
      </c>
      <c r="D213" s="176" t="str">
        <f>"(15-59 ans) Drogues (durant la vie) : consommation"</f>
        <v>(15-59 ans) Drogues (durant la vie) : consommation</v>
      </c>
      <c r="E213" s="178"/>
      <c r="F213" s="176"/>
    </row>
    <row r="214" spans="1:6" x14ac:dyDescent="0.2">
      <c r="A214" s="176"/>
      <c r="B214" s="177"/>
      <c r="C214" s="176" t="s">
        <v>2500</v>
      </c>
      <c r="D214" s="176" t="str">
        <f>"(15-39 ans) Haschich (durant la vie) : consommation"</f>
        <v>(15-39 ans) Haschich (durant la vie) : consommation</v>
      </c>
      <c r="E214" s="178"/>
      <c r="F214" s="176"/>
    </row>
    <row r="215" spans="1:6" x14ac:dyDescent="0.2">
      <c r="A215" s="176"/>
      <c r="B215" s="177"/>
      <c r="C215" s="176" t="s">
        <v>2501</v>
      </c>
      <c r="D215" s="176" t="str">
        <f>"(15-39 ans) Haschich : consommation actuelle"</f>
        <v>(15-39 ans) Haschich : consommation actuelle</v>
      </c>
      <c r="E215" s="178"/>
      <c r="F215" s="176"/>
    </row>
    <row r="216" spans="1:6" x14ac:dyDescent="0.2">
      <c r="A216" s="176"/>
      <c r="B216" s="177"/>
      <c r="C216" s="176" t="s">
        <v>2502</v>
      </c>
      <c r="D216" s="176" t="str">
        <f>"(15-39 ans) Héroïne (durant la vie) : consommation"</f>
        <v>(15-39 ans) Héroïne (durant la vie) : consommation</v>
      </c>
      <c r="E216" s="178"/>
      <c r="F216" s="176"/>
    </row>
    <row r="217" spans="1:6" x14ac:dyDescent="0.2">
      <c r="A217" s="176"/>
      <c r="B217" s="177"/>
      <c r="C217" s="176" t="s">
        <v>2503</v>
      </c>
      <c r="D217" s="176" t="str">
        <f>"(15-39 ans) Héroïne : consommation actuelle"</f>
        <v>(15-39 ans) Héroïne : consommation actuelle</v>
      </c>
      <c r="E217" s="178"/>
      <c r="F217" s="176"/>
    </row>
    <row r="218" spans="1:6" x14ac:dyDescent="0.2">
      <c r="A218" s="176"/>
      <c r="B218" s="177"/>
      <c r="C218" s="176" t="s">
        <v>2504</v>
      </c>
      <c r="D218" s="176" t="str">
        <f>"(15-39 ans) Cocaïne (durant la vie) : consommation"</f>
        <v>(15-39 ans) Cocaïne (durant la vie) : consommation</v>
      </c>
      <c r="E218" s="178"/>
      <c r="F218" s="176"/>
    </row>
    <row r="219" spans="1:6" x14ac:dyDescent="0.2">
      <c r="A219" s="176"/>
      <c r="B219" s="177"/>
      <c r="C219" s="176" t="s">
        <v>2505</v>
      </c>
      <c r="D219" s="176" t="str">
        <f>"(15-39 ans) Cocaïne : consommation actuelle"</f>
        <v>(15-39 ans) Cocaïne : consommation actuelle</v>
      </c>
      <c r="E219" s="178"/>
      <c r="F219" s="176"/>
    </row>
    <row r="220" spans="1:6" x14ac:dyDescent="0.2">
      <c r="A220" s="176"/>
      <c r="B220" s="177"/>
      <c r="C220" s="176" t="s">
        <v>2506</v>
      </c>
      <c r="D220" s="176" t="str">
        <f>"(15-39 ans) Méthadone (durant la vie) : consommation"</f>
        <v>(15-39 ans) Méthadone (durant la vie) : consommation</v>
      </c>
      <c r="E220" s="178"/>
      <c r="F220" s="176"/>
    </row>
    <row r="221" spans="1:6" x14ac:dyDescent="0.2">
      <c r="A221" s="176"/>
      <c r="B221" s="177"/>
      <c r="C221" s="176" t="s">
        <v>2507</v>
      </c>
      <c r="D221" s="176" t="str">
        <f>"(15-39 ans) Méthadone : consommation actuelle"</f>
        <v>(15-39 ans) Méthadone : consommation actuelle</v>
      </c>
      <c r="E221" s="178"/>
      <c r="F221" s="176"/>
    </row>
    <row r="222" spans="1:6" x14ac:dyDescent="0.2">
      <c r="A222" s="176"/>
      <c r="B222" s="177"/>
      <c r="C222" s="176" t="s">
        <v>2508</v>
      </c>
      <c r="D222" s="176" t="str">
        <f>"(15-39 ans) Crack, freebase (durant la vie) : consommation"</f>
        <v>(15-39 ans) Crack, freebase (durant la vie) : consommation</v>
      </c>
      <c r="E222" s="178"/>
      <c r="F222" s="176"/>
    </row>
    <row r="223" spans="1:6" x14ac:dyDescent="0.2">
      <c r="A223" s="176"/>
      <c r="B223" s="177"/>
      <c r="C223" s="176" t="s">
        <v>2509</v>
      </c>
      <c r="D223" s="176" t="str">
        <f>"(15-39 ans) Crack, freebase : consommation actuelle"</f>
        <v>(15-39 ans) Crack, freebase : consommation actuelle</v>
      </c>
      <c r="E223" s="178"/>
      <c r="F223" s="176"/>
    </row>
    <row r="224" spans="1:6" x14ac:dyDescent="0.2">
      <c r="A224" s="176"/>
      <c r="B224" s="177"/>
      <c r="C224" s="176" t="s">
        <v>2510</v>
      </c>
      <c r="D224" s="176" t="str">
        <f>"(15-39 ans) Amphétamines (durant la vie) : consommation"</f>
        <v>(15-39 ans) Amphétamines (durant la vie) : consommation</v>
      </c>
      <c r="E224" s="178"/>
      <c r="F224" s="176"/>
    </row>
    <row r="225" spans="1:6" x14ac:dyDescent="0.2">
      <c r="A225" s="176"/>
      <c r="B225" s="177"/>
      <c r="C225" s="176" t="s">
        <v>2511</v>
      </c>
      <c r="D225" s="176" t="str">
        <f>"(15-39 ans) Amphétamines : consommation actuelle"</f>
        <v>(15-39 ans) Amphétamines : consommation actuelle</v>
      </c>
      <c r="E225" s="178"/>
      <c r="F225" s="176"/>
    </row>
    <row r="226" spans="1:6" x14ac:dyDescent="0.2">
      <c r="A226" s="176"/>
      <c r="B226" s="177"/>
      <c r="C226" s="176" t="s">
        <v>2512</v>
      </c>
      <c r="D226" s="176" t="str">
        <f>"(15-39 ans) Hallucinogènes (durant la vie) : consommation"</f>
        <v>(15-39 ans) Hallucinogènes (durant la vie) : consommation</v>
      </c>
      <c r="E226" s="178"/>
      <c r="F226" s="176"/>
    </row>
    <row r="227" spans="1:6" x14ac:dyDescent="0.2">
      <c r="A227" s="176"/>
      <c r="B227" s="177"/>
      <c r="C227" s="176" t="s">
        <v>2513</v>
      </c>
      <c r="D227" s="176" t="str">
        <f>"(15-39 ans) Hallucinogènes : consommation actuelle"</f>
        <v>(15-39 ans) Hallucinogènes : consommation actuelle</v>
      </c>
      <c r="E227" s="178"/>
      <c r="F227" s="176"/>
    </row>
    <row r="228" spans="1:6" x14ac:dyDescent="0.2">
      <c r="A228" s="176"/>
      <c r="B228" s="177"/>
      <c r="C228" s="176" t="s">
        <v>2514</v>
      </c>
      <c r="D228" s="176" t="str">
        <f>"(15-39 ans) Autres stupéfiants (durant la vie) : consommation"</f>
        <v>(15-39 ans) Autres stupéfiants (durant la vie) : consommation</v>
      </c>
      <c r="E228" s="178"/>
      <c r="F228" s="176"/>
    </row>
    <row r="229" spans="1:6" x14ac:dyDescent="0.2">
      <c r="A229" s="176"/>
      <c r="B229" s="177"/>
      <c r="C229" s="176" t="s">
        <v>2515</v>
      </c>
      <c r="D229" s="176" t="str">
        <f>"(15-39 ans) Autres stupéfiants : consommation actuelle"</f>
        <v>(15-39 ans) Autres stupéfiants : consommation actuelle</v>
      </c>
      <c r="E229" s="178"/>
      <c r="F229" s="176"/>
    </row>
    <row r="230" spans="1:6" x14ac:dyDescent="0.2">
      <c r="A230" s="176"/>
      <c r="B230" s="177"/>
      <c r="C230" s="176" t="s">
        <v>2516</v>
      </c>
      <c r="D230" s="176" t="str">
        <f>"Articulation enflée et douloureuse : localisation"</f>
        <v>Articulation enflée et douloureuse : localisation</v>
      </c>
      <c r="E230" s="178" t="s">
        <v>3276</v>
      </c>
      <c r="F230" s="176" t="s">
        <v>2517</v>
      </c>
    </row>
    <row r="231" spans="1:6" x14ac:dyDescent="0.2">
      <c r="A231" s="176"/>
      <c r="B231" s="177"/>
      <c r="C231" s="176"/>
      <c r="D231" s="176"/>
      <c r="E231" s="178" t="s">
        <v>3277</v>
      </c>
      <c r="F231" s="176"/>
    </row>
    <row r="232" spans="1:6" x14ac:dyDescent="0.2">
      <c r="A232" s="176"/>
      <c r="B232" s="177"/>
      <c r="C232" s="176"/>
      <c r="D232" s="176"/>
      <c r="E232" s="178" t="s">
        <v>3278</v>
      </c>
      <c r="F232" s="176"/>
    </row>
    <row r="233" spans="1:6" x14ac:dyDescent="0.2">
      <c r="A233" s="176"/>
      <c r="B233" s="177"/>
      <c r="C233" s="176"/>
      <c r="D233" s="176"/>
      <c r="E233" s="178" t="s">
        <v>3279</v>
      </c>
      <c r="F233" s="176"/>
    </row>
    <row r="234" spans="1:6" x14ac:dyDescent="0.2">
      <c r="A234" s="176"/>
      <c r="B234" s="177"/>
      <c r="C234" s="176"/>
      <c r="D234" s="176"/>
      <c r="E234" s="185" t="s">
        <v>2353</v>
      </c>
      <c r="F234" s="176"/>
    </row>
    <row r="235" spans="1:6" x14ac:dyDescent="0.2">
      <c r="A235" s="176"/>
      <c r="B235" s="177"/>
      <c r="C235" s="176" t="s">
        <v>2518</v>
      </c>
      <c r="D235" s="176" t="str">
        <f>"Quintes de toux (12 mois) : hiver vs été"</f>
        <v>Quintes de toux (12 mois) : hiver vs été</v>
      </c>
      <c r="E235" s="178" t="s">
        <v>3280</v>
      </c>
      <c r="F235" s="176" t="s">
        <v>2519</v>
      </c>
    </row>
    <row r="236" spans="1:6" x14ac:dyDescent="0.2">
      <c r="A236" s="176"/>
      <c r="B236" s="177"/>
      <c r="C236" s="176" t="s">
        <v>2520</v>
      </c>
      <c r="D236" s="176" t="str">
        <f>"Glaires (12 mois) : hiver vs été"</f>
        <v>Glaires (12 mois) : hiver vs été</v>
      </c>
      <c r="E236" s="178" t="s">
        <v>3281</v>
      </c>
      <c r="F236" s="176"/>
    </row>
    <row r="237" spans="1:6" x14ac:dyDescent="0.2">
      <c r="A237" s="176"/>
      <c r="B237" s="177"/>
      <c r="C237" s="176"/>
      <c r="D237" s="176"/>
      <c r="E237" s="178" t="s">
        <v>3278</v>
      </c>
      <c r="F237" s="176"/>
    </row>
    <row r="238" spans="1:6" x14ac:dyDescent="0.2">
      <c r="A238" s="176"/>
      <c r="B238" s="177"/>
      <c r="C238" s="176"/>
      <c r="D238" s="176"/>
      <c r="E238" s="185" t="s">
        <v>2353</v>
      </c>
      <c r="F238" s="176"/>
    </row>
    <row r="239" spans="1:6" x14ac:dyDescent="0.2">
      <c r="A239" s="176"/>
      <c r="B239" s="177"/>
      <c r="C239" s="176" t="s">
        <v>2521</v>
      </c>
      <c r="D239" s="176" t="str">
        <f>"Activité limitée pour problème de santé (4 semaines) : nombre de jours"</f>
        <v>Activité limitée pour problème de santé (4 semaines) : nombre de jours</v>
      </c>
      <c r="E239" s="178" t="s">
        <v>3282</v>
      </c>
      <c r="F239" s="176" t="s">
        <v>2522</v>
      </c>
    </row>
    <row r="240" spans="1:6" x14ac:dyDescent="0.2">
      <c r="A240" s="176"/>
      <c r="B240" s="177"/>
      <c r="C240" s="176" t="s">
        <v>2523</v>
      </c>
      <c r="D240" s="176" t="str">
        <f>"Incapacité de travail pour problème de santé (4 semaines) : nombre de jours"</f>
        <v>Incapacité de travail pour problème de santé (4 semaines) : nombre de jours</v>
      </c>
      <c r="E240" s="185" t="s">
        <v>2353</v>
      </c>
      <c r="F240" s="176"/>
    </row>
    <row r="241" spans="1:6" x14ac:dyDescent="0.2">
      <c r="A241" s="176"/>
      <c r="B241" s="177"/>
      <c r="C241" s="176" t="s">
        <v>2524</v>
      </c>
      <c r="D241" s="176" t="str">
        <f>"Alitement pour cause de maladie, accident (4 semaines) : nombre de jours"</f>
        <v>Alitement pour cause de maladie, accident (4 semaines) : nombre de jours</v>
      </c>
      <c r="E241" s="178"/>
      <c r="F241" s="176"/>
    </row>
    <row r="242" spans="1:6" x14ac:dyDescent="0.2">
      <c r="A242" s="176"/>
      <c r="B242" s="177"/>
      <c r="C242" s="176" t="s">
        <v>2525</v>
      </c>
      <c r="D242" s="176" t="str">
        <f>"Activité limitée pour problème de santé (4 semaines) : raison"</f>
        <v>Activité limitée pour problème de santé (4 semaines) : raison</v>
      </c>
      <c r="E242" s="178" t="s">
        <v>3283</v>
      </c>
      <c r="F242" s="176" t="s">
        <v>2526</v>
      </c>
    </row>
    <row r="243" spans="1:6" x14ac:dyDescent="0.2">
      <c r="A243" s="176"/>
      <c r="B243" s="177"/>
      <c r="C243" s="176"/>
      <c r="D243" s="176"/>
      <c r="E243" s="178" t="s">
        <v>3284</v>
      </c>
      <c r="F243" s="176"/>
    </row>
    <row r="244" spans="1:6" x14ac:dyDescent="0.2">
      <c r="A244" s="176"/>
      <c r="B244" s="177"/>
      <c r="C244" s="176"/>
      <c r="D244" s="176"/>
      <c r="E244" s="178" t="s">
        <v>3278</v>
      </c>
      <c r="F244" s="176"/>
    </row>
    <row r="245" spans="1:6" x14ac:dyDescent="0.2">
      <c r="A245" s="176"/>
      <c r="B245" s="177"/>
      <c r="C245" s="176"/>
      <c r="D245" s="176"/>
      <c r="E245" s="178" t="s">
        <v>3285</v>
      </c>
      <c r="F245" s="176"/>
    </row>
    <row r="246" spans="1:6" x14ac:dyDescent="0.2">
      <c r="A246" s="176"/>
      <c r="B246" s="177"/>
      <c r="C246" s="176"/>
      <c r="D246" s="176"/>
      <c r="E246" s="185" t="s">
        <v>2353</v>
      </c>
      <c r="F246" s="176"/>
    </row>
    <row r="247" spans="1:6" x14ac:dyDescent="0.2">
      <c r="A247" s="176"/>
      <c r="B247" s="177"/>
      <c r="C247" s="176" t="s">
        <v>2527</v>
      </c>
      <c r="D247" s="176" t="str">
        <f>"Consultation médicale (12 mois) à titre préventif : nombre"</f>
        <v>Consultation médicale (12 mois) à titre préventif : nombre</v>
      </c>
      <c r="E247" s="178" t="s">
        <v>3286</v>
      </c>
      <c r="F247" s="176" t="s">
        <v>2528</v>
      </c>
    </row>
    <row r="248" spans="1:6" x14ac:dyDescent="0.2">
      <c r="A248" s="176"/>
      <c r="B248" s="177"/>
      <c r="C248" s="176" t="s">
        <v>2529</v>
      </c>
      <c r="D248" s="176" t="str">
        <f>"Consultation médicale (12 mois) pour ennui de santé : nombre"</f>
        <v>Consultation médicale (12 mois) pour ennui de santé : nombre</v>
      </c>
      <c r="E248" s="185" t="s">
        <v>2353</v>
      </c>
      <c r="F248" s="176"/>
    </row>
    <row r="249" spans="1:6" x14ac:dyDescent="0.2">
      <c r="A249" s="176"/>
      <c r="B249" s="177"/>
      <c r="C249" s="176" t="s">
        <v>2530</v>
      </c>
      <c r="D249" s="176" t="str">
        <f>"(F 15-49 ans) Consultation médicale (12 mois) pour grossesse : nombre"</f>
        <v>(F 15-49 ans) Consultation médicale (12 mois) pour grossesse : nombre</v>
      </c>
      <c r="E249" s="178"/>
      <c r="F249" s="176"/>
    </row>
    <row r="250" spans="1:6" x14ac:dyDescent="0.2">
      <c r="A250" s="176"/>
      <c r="B250" s="177"/>
      <c r="C250" s="176" t="s">
        <v>2531</v>
      </c>
      <c r="D250" s="176" t="str">
        <f>"Hôpital, clinique spécialisée (12 mois) : nombre jours"</f>
        <v>Hôpital, clinique spécialisée (12 mois) : nombre jours</v>
      </c>
      <c r="E250" s="178"/>
      <c r="F250" s="176"/>
    </row>
    <row r="251" spans="1:6" x14ac:dyDescent="0.2">
      <c r="A251" s="176"/>
      <c r="B251" s="177"/>
      <c r="C251" s="176" t="s">
        <v>2532</v>
      </c>
      <c r="D251" s="176" t="str">
        <f>"Dernière consultation : liste médecin FMH"</f>
        <v>Dernière consultation : liste médecin FMH</v>
      </c>
      <c r="E251" s="178" t="s">
        <v>3287</v>
      </c>
      <c r="F251" s="176" t="s">
        <v>2533</v>
      </c>
    </row>
    <row r="252" spans="1:6" x14ac:dyDescent="0.2">
      <c r="A252" s="176"/>
      <c r="B252" s="177"/>
      <c r="C252" s="176"/>
      <c r="D252" s="176"/>
      <c r="E252" s="178" t="s">
        <v>3288</v>
      </c>
      <c r="F252" s="176"/>
    </row>
    <row r="253" spans="1:6" x14ac:dyDescent="0.2">
      <c r="A253" s="176"/>
      <c r="B253" s="177"/>
      <c r="C253" s="176"/>
      <c r="D253" s="176"/>
      <c r="E253" s="178" t="s">
        <v>3289</v>
      </c>
      <c r="F253" s="176"/>
    </row>
    <row r="254" spans="1:6" x14ac:dyDescent="0.2">
      <c r="A254" s="176"/>
      <c r="B254" s="177"/>
      <c r="C254" s="176"/>
      <c r="D254" s="176"/>
      <c r="E254" s="178" t="s">
        <v>3290</v>
      </c>
      <c r="F254" s="176"/>
    </row>
    <row r="255" spans="1:6" x14ac:dyDescent="0.2">
      <c r="A255" s="176"/>
      <c r="B255" s="177"/>
      <c r="C255" s="176"/>
      <c r="D255" s="176"/>
      <c r="E255" s="178" t="s">
        <v>3291</v>
      </c>
      <c r="F255" s="176"/>
    </row>
    <row r="256" spans="1:6" x14ac:dyDescent="0.2">
      <c r="A256" s="176"/>
      <c r="B256" s="177"/>
      <c r="C256" s="176"/>
      <c r="D256" s="176"/>
      <c r="E256" s="178" t="s">
        <v>3292</v>
      </c>
      <c r="F256" s="176"/>
    </row>
    <row r="257" spans="1:6" x14ac:dyDescent="0.2">
      <c r="A257" s="176"/>
      <c r="B257" s="177"/>
      <c r="C257" s="176"/>
      <c r="D257" s="176"/>
      <c r="E257" s="178" t="s">
        <v>3293</v>
      </c>
      <c r="F257" s="176"/>
    </row>
    <row r="258" spans="1:6" x14ac:dyDescent="0.2">
      <c r="A258" s="176"/>
      <c r="B258" s="177"/>
      <c r="C258" s="176"/>
      <c r="D258" s="176"/>
      <c r="E258" s="178" t="s">
        <v>3294</v>
      </c>
      <c r="F258" s="176"/>
    </row>
    <row r="259" spans="1:6" x14ac:dyDescent="0.2">
      <c r="A259" s="176"/>
      <c r="B259" s="177"/>
      <c r="C259" s="176"/>
      <c r="D259" s="176"/>
      <c r="E259" s="178" t="s">
        <v>3295</v>
      </c>
      <c r="F259" s="176"/>
    </row>
    <row r="260" spans="1:6" x14ac:dyDescent="0.2">
      <c r="A260" s="176"/>
      <c r="B260" s="177"/>
      <c r="C260" s="176"/>
      <c r="D260" s="176"/>
      <c r="E260" s="178" t="s">
        <v>3296</v>
      </c>
      <c r="F260" s="176"/>
    </row>
    <row r="261" spans="1:6" x14ac:dyDescent="0.2">
      <c r="A261" s="176"/>
      <c r="B261" s="177"/>
      <c r="C261" s="176"/>
      <c r="D261" s="176"/>
      <c r="E261" s="178" t="s">
        <v>3297</v>
      </c>
      <c r="F261" s="176"/>
    </row>
    <row r="262" spans="1:6" x14ac:dyDescent="0.2">
      <c r="A262" s="176"/>
      <c r="B262" s="177"/>
      <c r="C262" s="176"/>
      <c r="D262" s="176"/>
      <c r="E262" s="178" t="s">
        <v>3298</v>
      </c>
      <c r="F262" s="176"/>
    </row>
    <row r="263" spans="1:6" x14ac:dyDescent="0.2">
      <c r="A263" s="176"/>
      <c r="B263" s="177"/>
      <c r="C263" s="176"/>
      <c r="D263" s="176"/>
      <c r="E263" s="178" t="s">
        <v>3299</v>
      </c>
      <c r="F263" s="176"/>
    </row>
    <row r="264" spans="1:6" x14ac:dyDescent="0.2">
      <c r="A264" s="176"/>
      <c r="B264" s="177"/>
      <c r="C264" s="176"/>
      <c r="D264" s="176"/>
      <c r="E264" s="178" t="s">
        <v>3300</v>
      </c>
      <c r="F264" s="176"/>
    </row>
    <row r="265" spans="1:6" x14ac:dyDescent="0.2">
      <c r="A265" s="176"/>
      <c r="B265" s="177"/>
      <c r="C265" s="176"/>
      <c r="D265" s="176"/>
      <c r="E265" s="178" t="s">
        <v>3301</v>
      </c>
      <c r="F265" s="176"/>
    </row>
    <row r="266" spans="1:6" x14ac:dyDescent="0.2">
      <c r="A266" s="176"/>
      <c r="B266" s="177"/>
      <c r="C266" s="176"/>
      <c r="D266" s="176"/>
      <c r="E266" s="178" t="s">
        <v>3302</v>
      </c>
      <c r="F266" s="176"/>
    </row>
    <row r="267" spans="1:6" x14ac:dyDescent="0.2">
      <c r="A267" s="176"/>
      <c r="B267" s="177"/>
      <c r="C267" s="176"/>
      <c r="D267" s="176"/>
      <c r="E267" s="178" t="s">
        <v>3303</v>
      </c>
      <c r="F267" s="176"/>
    </row>
    <row r="268" spans="1:6" x14ac:dyDescent="0.2">
      <c r="A268" s="176"/>
      <c r="B268" s="177"/>
      <c r="C268" s="176"/>
      <c r="D268" s="176"/>
      <c r="E268" s="178" t="s">
        <v>3304</v>
      </c>
      <c r="F268" s="176"/>
    </row>
    <row r="269" spans="1:6" x14ac:dyDescent="0.2">
      <c r="A269" s="176"/>
      <c r="B269" s="177"/>
      <c r="C269" s="176"/>
      <c r="D269" s="176"/>
      <c r="E269" s="178" t="s">
        <v>3305</v>
      </c>
      <c r="F269" s="176"/>
    </row>
    <row r="270" spans="1:6" x14ac:dyDescent="0.2">
      <c r="A270" s="176"/>
      <c r="B270" s="177"/>
      <c r="C270" s="176"/>
      <c r="D270" s="176"/>
      <c r="E270" s="178" t="s">
        <v>3306</v>
      </c>
      <c r="F270" s="176"/>
    </row>
    <row r="271" spans="1:6" x14ac:dyDescent="0.2">
      <c r="A271" s="176"/>
      <c r="B271" s="177"/>
      <c r="C271" s="176"/>
      <c r="D271" s="176"/>
      <c r="E271" s="178" t="s">
        <v>3307</v>
      </c>
      <c r="F271" s="176"/>
    </row>
    <row r="272" spans="1:6" x14ac:dyDescent="0.2">
      <c r="A272" s="176"/>
      <c r="B272" s="177"/>
      <c r="C272" s="176"/>
      <c r="D272" s="176"/>
      <c r="E272" s="178" t="s">
        <v>3308</v>
      </c>
      <c r="F272" s="176"/>
    </row>
    <row r="273" spans="1:6" x14ac:dyDescent="0.2">
      <c r="A273" s="176"/>
      <c r="B273" s="177"/>
      <c r="C273" s="176"/>
      <c r="D273" s="176"/>
      <c r="E273" s="178" t="s">
        <v>3309</v>
      </c>
      <c r="F273" s="176"/>
    </row>
    <row r="274" spans="1:6" x14ac:dyDescent="0.2">
      <c r="A274" s="176"/>
      <c r="B274" s="177"/>
      <c r="C274" s="176"/>
      <c r="D274" s="176"/>
      <c r="E274" s="178" t="s">
        <v>3310</v>
      </c>
      <c r="F274" s="176"/>
    </row>
    <row r="275" spans="1:6" x14ac:dyDescent="0.2">
      <c r="A275" s="176"/>
      <c r="B275" s="177"/>
      <c r="C275" s="176"/>
      <c r="D275" s="176"/>
      <c r="E275" s="178" t="s">
        <v>3311</v>
      </c>
      <c r="F275" s="176"/>
    </row>
    <row r="276" spans="1:6" x14ac:dyDescent="0.2">
      <c r="A276" s="176"/>
      <c r="B276" s="177"/>
      <c r="C276" s="176"/>
      <c r="D276" s="176"/>
      <c r="E276" s="178" t="s">
        <v>3312</v>
      </c>
      <c r="F276" s="176"/>
    </row>
    <row r="277" spans="1:6" x14ac:dyDescent="0.2">
      <c r="A277" s="176"/>
      <c r="B277" s="177"/>
      <c r="C277" s="176"/>
      <c r="D277" s="176"/>
      <c r="E277" s="178" t="s">
        <v>3313</v>
      </c>
      <c r="F277" s="176"/>
    </row>
    <row r="278" spans="1:6" x14ac:dyDescent="0.2">
      <c r="A278" s="176"/>
      <c r="B278" s="177"/>
      <c r="C278" s="176"/>
      <c r="D278" s="176"/>
      <c r="E278" s="178" t="s">
        <v>3314</v>
      </c>
      <c r="F278" s="176"/>
    </row>
    <row r="279" spans="1:6" x14ac:dyDescent="0.2">
      <c r="A279" s="176"/>
      <c r="B279" s="177"/>
      <c r="C279" s="176"/>
      <c r="D279" s="176"/>
      <c r="E279" s="178" t="s">
        <v>3315</v>
      </c>
      <c r="F279" s="176"/>
    </row>
    <row r="280" spans="1:6" x14ac:dyDescent="0.2">
      <c r="A280" s="176"/>
      <c r="B280" s="177"/>
      <c r="C280" s="176"/>
      <c r="D280" s="176"/>
      <c r="E280" s="178" t="s">
        <v>3316</v>
      </c>
      <c r="F280" s="176"/>
    </row>
    <row r="281" spans="1:6" x14ac:dyDescent="0.2">
      <c r="A281" s="176"/>
      <c r="B281" s="177"/>
      <c r="C281" s="176"/>
      <c r="D281" s="176"/>
      <c r="E281" s="178" t="s">
        <v>3317</v>
      </c>
      <c r="F281" s="176"/>
    </row>
    <row r="282" spans="1:6" x14ac:dyDescent="0.2">
      <c r="A282" s="176"/>
      <c r="B282" s="177"/>
      <c r="C282" s="176"/>
      <c r="D282" s="176"/>
      <c r="E282" s="178" t="s">
        <v>3318</v>
      </c>
      <c r="F282" s="176"/>
    </row>
    <row r="283" spans="1:6" x14ac:dyDescent="0.2">
      <c r="A283" s="176"/>
      <c r="B283" s="177"/>
      <c r="C283" s="176"/>
      <c r="D283" s="176"/>
      <c r="E283" s="178" t="s">
        <v>3319</v>
      </c>
      <c r="F283" s="176"/>
    </row>
    <row r="284" spans="1:6" x14ac:dyDescent="0.2">
      <c r="A284" s="176"/>
      <c r="B284" s="177"/>
      <c r="C284" s="176"/>
      <c r="D284" s="176"/>
      <c r="E284" s="178" t="s">
        <v>3320</v>
      </c>
      <c r="F284" s="176"/>
    </row>
    <row r="285" spans="1:6" x14ac:dyDescent="0.2">
      <c r="A285" s="176"/>
      <c r="B285" s="177"/>
      <c r="C285" s="176" t="s">
        <v>2534</v>
      </c>
      <c r="D285" s="176" t="str">
        <f>"Dernière consultation (CIM-10) : motif 1"</f>
        <v>Dernière consultation (CIM-10) : motif 1</v>
      </c>
      <c r="E285" s="178"/>
      <c r="F285" s="176" t="s">
        <v>2535</v>
      </c>
    </row>
    <row r="286" spans="1:6" x14ac:dyDescent="0.2">
      <c r="A286" s="176"/>
      <c r="B286" s="177"/>
      <c r="C286" s="176" t="s">
        <v>2536</v>
      </c>
      <c r="D286" s="176" t="str">
        <f>"Dernière consultation (CIM-10) : motif 2"</f>
        <v>Dernière consultation (CIM-10) : motif 2</v>
      </c>
      <c r="E286" s="178"/>
      <c r="F286" s="176"/>
    </row>
    <row r="287" spans="1:6" x14ac:dyDescent="0.2">
      <c r="A287" s="176"/>
      <c r="B287" s="177"/>
      <c r="C287" s="176" t="s">
        <v>2537</v>
      </c>
      <c r="D287" s="176" t="str">
        <f>"Dernière hospitalisation : problème de santé (CIM-10) 1"</f>
        <v>Dernière hospitalisation : problème de santé (CIM-10) 1</v>
      </c>
      <c r="E287" s="178"/>
      <c r="F287" s="176"/>
    </row>
    <row r="288" spans="1:6" x14ac:dyDescent="0.2">
      <c r="A288" s="176"/>
      <c r="B288" s="177"/>
      <c r="C288" s="176" t="s">
        <v>2538</v>
      </c>
      <c r="D288" s="176" t="str">
        <f>"Dernière hospitalisation : problème de santé (CIM-10) 2"</f>
        <v>Dernière hospitalisation : problème de santé (CIM-10) 2</v>
      </c>
      <c r="E288" s="178"/>
      <c r="F288" s="176"/>
    </row>
    <row r="289" spans="1:6" x14ac:dyDescent="0.2">
      <c r="A289" s="176"/>
      <c r="B289" s="177"/>
      <c r="C289" s="176" t="s">
        <v>2539</v>
      </c>
      <c r="D289" s="176" t="str">
        <f>"Appel d'urgence d'un médecin durant le weekend (12 mois) : posé problème"</f>
        <v>Appel d'urgence d'un médecin durant le weekend (12 mois) : posé problème</v>
      </c>
      <c r="E289" s="179" t="s">
        <v>3321</v>
      </c>
      <c r="F289" s="176" t="s">
        <v>2540</v>
      </c>
    </row>
    <row r="290" spans="1:6" x14ac:dyDescent="0.2">
      <c r="A290" s="176"/>
      <c r="B290" s="177"/>
      <c r="C290" s="176"/>
      <c r="D290" s="176"/>
      <c r="E290" s="179" t="s">
        <v>3322</v>
      </c>
      <c r="F290" s="176"/>
    </row>
    <row r="291" spans="1:6" x14ac:dyDescent="0.2">
      <c r="A291" s="176"/>
      <c r="B291" s="177"/>
      <c r="C291" s="176"/>
      <c r="D291" s="176"/>
      <c r="E291" s="185" t="s">
        <v>2353</v>
      </c>
      <c r="F291" s="176"/>
    </row>
    <row r="292" spans="1:6" x14ac:dyDescent="0.2">
      <c r="A292" s="176"/>
      <c r="B292" s="177"/>
      <c r="C292" s="176" t="s">
        <v>2541</v>
      </c>
      <c r="D292" s="176" t="str">
        <f>"Dernière hospitalisation : satisfaction soins infirmiers"</f>
        <v>Dernière hospitalisation : satisfaction soins infirmiers</v>
      </c>
      <c r="E292" s="179" t="s">
        <v>3323</v>
      </c>
      <c r="F292" s="176" t="s">
        <v>2542</v>
      </c>
    </row>
    <row r="293" spans="1:6" x14ac:dyDescent="0.2">
      <c r="A293" s="176"/>
      <c r="B293" s="177"/>
      <c r="C293" s="176" t="s">
        <v>2543</v>
      </c>
      <c r="D293" s="176" t="str">
        <f>"Dernière hospitalisation : satisfaction soins médicaux"</f>
        <v>Dernière hospitalisation : satisfaction soins médicaux</v>
      </c>
      <c r="E293" s="179" t="s">
        <v>3324</v>
      </c>
      <c r="F293" s="176"/>
    </row>
    <row r="294" spans="1:6" x14ac:dyDescent="0.2">
      <c r="A294" s="176"/>
      <c r="B294" s="177"/>
      <c r="C294" s="176"/>
      <c r="D294" s="176"/>
      <c r="E294" s="179" t="s">
        <v>3325</v>
      </c>
      <c r="F294" s="176"/>
    </row>
    <row r="295" spans="1:6" x14ac:dyDescent="0.2">
      <c r="A295" s="176"/>
      <c r="B295" s="177"/>
      <c r="C295" s="176"/>
      <c r="D295" s="176"/>
      <c r="E295" s="179" t="s">
        <v>3326</v>
      </c>
      <c r="F295" s="176"/>
    </row>
    <row r="296" spans="1:6" x14ac:dyDescent="0.2">
      <c r="A296" s="176"/>
      <c r="B296" s="177"/>
      <c r="C296" s="176"/>
      <c r="D296" s="176"/>
      <c r="E296" s="178" t="s">
        <v>3252</v>
      </c>
      <c r="F296" s="176"/>
    </row>
    <row r="297" spans="1:6" x14ac:dyDescent="0.2">
      <c r="A297" s="176"/>
      <c r="B297" s="177"/>
      <c r="C297" s="176" t="s">
        <v>2544</v>
      </c>
      <c r="D297" s="176" t="str">
        <f>"Médicament contre hypertension (7 jours) : fréquence"</f>
        <v>Médicament contre hypertension (7 jours) : fréquence</v>
      </c>
      <c r="E297" s="179" t="s">
        <v>3327</v>
      </c>
      <c r="F297" s="176" t="s">
        <v>2545</v>
      </c>
    </row>
    <row r="298" spans="1:6" x14ac:dyDescent="0.2">
      <c r="A298" s="176"/>
      <c r="B298" s="177"/>
      <c r="C298" s="176" t="s">
        <v>2546</v>
      </c>
      <c r="D298" s="176" t="str">
        <f>"Remèdes pour le cœur (7 jours) : fréquence"</f>
        <v>Remèdes pour le cœur (7 jours) : fréquence</v>
      </c>
      <c r="E298" s="179" t="s">
        <v>3328</v>
      </c>
      <c r="F298" s="176"/>
    </row>
    <row r="299" spans="1:6" x14ac:dyDescent="0.2">
      <c r="A299" s="176"/>
      <c r="B299" s="177"/>
      <c r="C299" s="176" t="s">
        <v>2547</v>
      </c>
      <c r="D299" s="176" t="str">
        <f>"Somnifères (7 jours) : fréquence"</f>
        <v>Somnifères (7 jours) : fréquence</v>
      </c>
      <c r="E299" s="179" t="s">
        <v>3329</v>
      </c>
      <c r="F299" s="176"/>
    </row>
    <row r="300" spans="1:6" x14ac:dyDescent="0.2">
      <c r="A300" s="176"/>
      <c r="B300" s="177"/>
      <c r="C300" s="176" t="s">
        <v>2548</v>
      </c>
      <c r="D300" s="176" t="str">
        <f>"Médicament contre rhumatismes (7 jours) : fréquence"</f>
        <v>Médicament contre rhumatismes (7 jours) : fréquence</v>
      </c>
      <c r="E300" s="179" t="s">
        <v>3330</v>
      </c>
      <c r="F300" s="176"/>
    </row>
    <row r="301" spans="1:6" x14ac:dyDescent="0.2">
      <c r="A301" s="176"/>
      <c r="B301" s="177"/>
      <c r="C301" s="176" t="s">
        <v>2549</v>
      </c>
      <c r="D301" s="176" t="str">
        <f>"Médicament antidouleurs (7 jours) : fréquence"</f>
        <v>Médicament antidouleurs (7 jours) : fréquence</v>
      </c>
      <c r="E301" s="178" t="s">
        <v>3252</v>
      </c>
      <c r="F301" s="176"/>
    </row>
    <row r="302" spans="1:6" x14ac:dyDescent="0.2">
      <c r="A302" s="176"/>
      <c r="B302" s="177"/>
      <c r="C302" s="176" t="s">
        <v>2550</v>
      </c>
      <c r="D302" s="176" t="str">
        <f>"Calmants (7 jours) : fréquence"</f>
        <v>Calmants (7 jours) : fréquence</v>
      </c>
      <c r="E302" s="178"/>
      <c r="F302" s="176"/>
    </row>
    <row r="303" spans="1:6" x14ac:dyDescent="0.2">
      <c r="A303" s="176"/>
      <c r="B303" s="177"/>
      <c r="C303" s="176" t="s">
        <v>2551</v>
      </c>
      <c r="D303" s="176" t="str">
        <f>"Laxatifs (7 jours) : fréquence"</f>
        <v>Laxatifs (7 jours) : fréquence</v>
      </c>
      <c r="E303" s="178"/>
      <c r="F303" s="176"/>
    </row>
    <row r="304" spans="1:6" x14ac:dyDescent="0.2">
      <c r="A304" s="176"/>
      <c r="B304" s="177"/>
      <c r="C304" s="176" t="s">
        <v>2552</v>
      </c>
      <c r="D304" s="176" t="str">
        <f>"Médicament contre asthme (7 jours) : fréquence"</f>
        <v>Médicament contre asthme (7 jours) : fréquence</v>
      </c>
      <c r="E304" s="178"/>
      <c r="F304" s="176"/>
    </row>
    <row r="305" spans="1:6" x14ac:dyDescent="0.2">
      <c r="A305" s="176"/>
      <c r="B305" s="177"/>
      <c r="C305" s="176" t="s">
        <v>2553</v>
      </c>
      <c r="D305" s="176" t="str">
        <f>"Pilules amaigrissantes (7 jours) : fréquence"</f>
        <v>Pilules amaigrissantes (7 jours) : fréquence</v>
      </c>
      <c r="E305" s="178"/>
      <c r="F305" s="176"/>
    </row>
    <row r="306" spans="1:6" x14ac:dyDescent="0.2">
      <c r="A306" s="176"/>
      <c r="B306" s="177"/>
      <c r="C306" s="176" t="s">
        <v>2554</v>
      </c>
      <c r="D306" s="176" t="str">
        <f>"Stimulants (7 jours) : fréquence"</f>
        <v>Stimulants (7 jours) : fréquence</v>
      </c>
      <c r="E306" s="178"/>
      <c r="F306" s="176"/>
    </row>
    <row r="307" spans="1:6" x14ac:dyDescent="0.2">
      <c r="A307" s="176"/>
      <c r="B307" s="177"/>
      <c r="C307" s="176" t="s">
        <v>2555</v>
      </c>
      <c r="D307" s="176" t="str">
        <f>"Préparations vitaminées (7 jours) : fréquence"</f>
        <v>Préparations vitaminées (7 jours) : fréquence</v>
      </c>
      <c r="E307" s="178"/>
      <c r="F307" s="176"/>
    </row>
    <row r="308" spans="1:6" x14ac:dyDescent="0.2">
      <c r="A308" s="176"/>
      <c r="B308" s="177"/>
      <c r="C308" s="176" t="s">
        <v>2556</v>
      </c>
      <c r="D308" s="176" t="str">
        <f>"Fortifiants, reconstituants (7 jours) : fréquence"</f>
        <v>Fortifiants, reconstituants (7 jours) : fréquence</v>
      </c>
      <c r="E308" s="178"/>
      <c r="F308" s="176"/>
    </row>
    <row r="309" spans="1:6" x14ac:dyDescent="0.2">
      <c r="A309" s="176"/>
      <c r="B309" s="177"/>
      <c r="C309" s="176" t="s">
        <v>2557</v>
      </c>
      <c r="D309" s="176" t="str">
        <f>"Médicament contre hypertension (7 jours) : prescription médicale"</f>
        <v>Médicament contre hypertension (7 jours) : prescription médicale</v>
      </c>
      <c r="E309" s="179" t="s">
        <v>3331</v>
      </c>
      <c r="F309" s="176" t="s">
        <v>2558</v>
      </c>
    </row>
    <row r="310" spans="1:6" x14ac:dyDescent="0.2">
      <c r="A310" s="176"/>
      <c r="B310" s="177"/>
      <c r="C310" s="176" t="s">
        <v>2559</v>
      </c>
      <c r="D310" s="176" t="str">
        <f>"Remèdes pour le cœur (7 jours) : prescription médicale"</f>
        <v>Remèdes pour le cœur (7 jours) : prescription médicale</v>
      </c>
      <c r="E310" s="179" t="s">
        <v>3332</v>
      </c>
      <c r="F310" s="176"/>
    </row>
    <row r="311" spans="1:6" x14ac:dyDescent="0.2">
      <c r="A311" s="176"/>
      <c r="B311" s="177"/>
      <c r="C311" s="176" t="s">
        <v>2560</v>
      </c>
      <c r="D311" s="176" t="str">
        <f>"Somnifères (7 jours) : prescription médicale"</f>
        <v>Somnifères (7 jours) : prescription médicale</v>
      </c>
      <c r="E311" s="178" t="s">
        <v>3252</v>
      </c>
      <c r="F311" s="176"/>
    </row>
    <row r="312" spans="1:6" x14ac:dyDescent="0.2">
      <c r="A312" s="176"/>
      <c r="B312" s="177"/>
      <c r="C312" s="176" t="s">
        <v>2561</v>
      </c>
      <c r="D312" s="176" t="str">
        <f>"Médicament contre rhumatismes (7 jours) : prescription médicale"</f>
        <v>Médicament contre rhumatismes (7 jours) : prescription médicale</v>
      </c>
      <c r="E312" s="178"/>
      <c r="F312" s="176"/>
    </row>
    <row r="313" spans="1:6" x14ac:dyDescent="0.2">
      <c r="A313" s="176"/>
      <c r="B313" s="177"/>
      <c r="C313" s="176" t="s">
        <v>2562</v>
      </c>
      <c r="D313" s="176" t="str">
        <f>"Médicament antidouleurs (7 jours) : prescription médicale"</f>
        <v>Médicament antidouleurs (7 jours) : prescription médicale</v>
      </c>
      <c r="E313" s="178"/>
      <c r="F313" s="176"/>
    </row>
    <row r="314" spans="1:6" x14ac:dyDescent="0.2">
      <c r="A314" s="176"/>
      <c r="B314" s="177"/>
      <c r="C314" s="176" t="s">
        <v>2563</v>
      </c>
      <c r="D314" s="176" t="str">
        <f>"Calmants (7 jours) : prescription médicale"</f>
        <v>Calmants (7 jours) : prescription médicale</v>
      </c>
      <c r="E314" s="178"/>
      <c r="F314" s="176"/>
    </row>
    <row r="315" spans="1:6" x14ac:dyDescent="0.2">
      <c r="A315" s="176"/>
      <c r="B315" s="177"/>
      <c r="C315" s="176" t="s">
        <v>2564</v>
      </c>
      <c r="D315" s="176" t="str">
        <f>"Laxatifs (7 jours) : prescription médicale"</f>
        <v>Laxatifs (7 jours) : prescription médicale</v>
      </c>
      <c r="E315" s="178"/>
      <c r="F315" s="176"/>
    </row>
    <row r="316" spans="1:6" x14ac:dyDescent="0.2">
      <c r="A316" s="176"/>
      <c r="B316" s="177"/>
      <c r="C316" s="176" t="s">
        <v>2565</v>
      </c>
      <c r="D316" s="176" t="str">
        <f>"Médicament contre asthme (7 jours) : prescription médicale"</f>
        <v>Médicament contre asthme (7 jours) : prescription médicale</v>
      </c>
      <c r="E316" s="178"/>
      <c r="F316" s="176"/>
    </row>
    <row r="317" spans="1:6" x14ac:dyDescent="0.2">
      <c r="A317" s="176"/>
      <c r="B317" s="177"/>
      <c r="C317" s="176" t="s">
        <v>2566</v>
      </c>
      <c r="D317" s="176" t="str">
        <f>"Pilules amaigrissantes (7 jours) : prescription médicale"</f>
        <v>Pilules amaigrissantes (7 jours) : prescription médicale</v>
      </c>
      <c r="E317" s="178"/>
      <c r="F317" s="176"/>
    </row>
    <row r="318" spans="1:6" x14ac:dyDescent="0.2">
      <c r="A318" s="176"/>
      <c r="B318" s="177"/>
      <c r="C318" s="176" t="s">
        <v>2567</v>
      </c>
      <c r="D318" s="176" t="str">
        <f>"Stimulants (7 jours) : prescription médicale"</f>
        <v>Stimulants (7 jours) : prescription médicale</v>
      </c>
      <c r="E318" s="178"/>
      <c r="F318" s="176"/>
    </row>
    <row r="319" spans="1:6" x14ac:dyDescent="0.2">
      <c r="A319" s="176"/>
      <c r="B319" s="177"/>
      <c r="C319" s="176" t="s">
        <v>2568</v>
      </c>
      <c r="D319" s="176" t="str">
        <f>"Préparations vitaminées (7 jours) : prescription médicale"</f>
        <v>Préparations vitaminées (7 jours) : prescription médicale</v>
      </c>
      <c r="E319" s="178"/>
      <c r="F319" s="176"/>
    </row>
    <row r="320" spans="1:6" x14ac:dyDescent="0.2">
      <c r="A320" s="176"/>
      <c r="B320" s="177"/>
      <c r="C320" s="176" t="s">
        <v>2569</v>
      </c>
      <c r="D320" s="176" t="str">
        <f>"Fortifiants, reconstituants (7 jours) : prescription médicale"</f>
        <v>Fortifiants, reconstituants (7 jours) : prescription médicale</v>
      </c>
      <c r="E320" s="178"/>
      <c r="F320" s="176"/>
    </row>
    <row r="321" spans="1:6" x14ac:dyDescent="0.2">
      <c r="A321" s="176"/>
      <c r="B321" s="177"/>
      <c r="C321" s="176" t="s">
        <v>2570</v>
      </c>
      <c r="D321" s="176" t="str">
        <f>"Attention à son alimentation"</f>
        <v>Attention à son alimentation</v>
      </c>
      <c r="E321" s="179" t="s">
        <v>3333</v>
      </c>
      <c r="F321" s="176" t="s">
        <v>2571</v>
      </c>
    </row>
    <row r="322" spans="1:6" x14ac:dyDescent="0.2">
      <c r="A322" s="176"/>
      <c r="B322" s="177"/>
      <c r="C322" s="176"/>
      <c r="D322" s="176"/>
      <c r="E322" s="179" t="s">
        <v>3334</v>
      </c>
      <c r="F322" s="176"/>
    </row>
    <row r="323" spans="1:6" x14ac:dyDescent="0.2">
      <c r="A323" s="176"/>
      <c r="B323" s="177"/>
      <c r="C323" s="176"/>
      <c r="D323" s="176"/>
      <c r="E323" s="178" t="s">
        <v>3252</v>
      </c>
      <c r="F323" s="176"/>
    </row>
    <row r="324" spans="1:6" x14ac:dyDescent="0.2">
      <c r="A324" s="176"/>
      <c r="B324" s="177"/>
      <c r="C324" s="176" t="s">
        <v>2572</v>
      </c>
      <c r="D324" s="176" t="str">
        <f>"Attention à son alimentation : principe de nutrition 1"</f>
        <v>Attention à son alimentation : principe de nutrition 1</v>
      </c>
      <c r="E324" s="179" t="s">
        <v>3335</v>
      </c>
      <c r="F324" s="176" t="s">
        <v>2573</v>
      </c>
    </row>
    <row r="325" spans="1:6" x14ac:dyDescent="0.2">
      <c r="A325" s="176"/>
      <c r="B325" s="177"/>
      <c r="C325" s="176" t="s">
        <v>2574</v>
      </c>
      <c r="D325" s="176" t="str">
        <f>"Attention à son alimentation : principe de nutrition 2"</f>
        <v>Attention à son alimentation : principe de nutrition 2</v>
      </c>
      <c r="E325" s="179" t="s">
        <v>3336</v>
      </c>
      <c r="F325" s="176"/>
    </row>
    <row r="326" spans="1:6" x14ac:dyDescent="0.2">
      <c r="A326" s="176"/>
      <c r="B326" s="177"/>
      <c r="C326" s="176" t="s">
        <v>2575</v>
      </c>
      <c r="D326" s="176" t="str">
        <f>"Attention à son alimentation : principe de nutrition 3"</f>
        <v>Attention à son alimentation : principe de nutrition 3</v>
      </c>
      <c r="E326" s="179" t="s">
        <v>3337</v>
      </c>
      <c r="F326" s="176"/>
    </row>
    <row r="327" spans="1:6" x14ac:dyDescent="0.2">
      <c r="A327" s="176"/>
      <c r="B327" s="177"/>
      <c r="C327" s="176" t="s">
        <v>2576</v>
      </c>
      <c r="D327" s="176" t="str">
        <f>"Attention à son alimentation : principe de nutrition 4"</f>
        <v>Attention à son alimentation : principe de nutrition 4</v>
      </c>
      <c r="E327" s="179" t="s">
        <v>3338</v>
      </c>
      <c r="F327" s="176"/>
    </row>
    <row r="328" spans="1:6" x14ac:dyDescent="0.2">
      <c r="A328" s="176"/>
      <c r="B328" s="177"/>
      <c r="C328" s="176" t="s">
        <v>2577</v>
      </c>
      <c r="D328" s="176" t="str">
        <f>"Attention à son alimentation : principe de nutrition 5"</f>
        <v>Attention à son alimentation : principe de nutrition 5</v>
      </c>
      <c r="E328" s="179" t="s">
        <v>3339</v>
      </c>
      <c r="F328" s="176"/>
    </row>
    <row r="329" spans="1:6" x14ac:dyDescent="0.2">
      <c r="A329" s="176"/>
      <c r="B329" s="177"/>
      <c r="C329" s="176" t="s">
        <v>2578</v>
      </c>
      <c r="D329" s="176" t="str">
        <f>"Attention à son alimentation : principe de nutrition 6"</f>
        <v>Attention à son alimentation : principe de nutrition 6</v>
      </c>
      <c r="E329" s="179" t="s">
        <v>3340</v>
      </c>
      <c r="F329" s="176"/>
    </row>
    <row r="330" spans="1:6" x14ac:dyDescent="0.2">
      <c r="A330" s="176"/>
      <c r="B330" s="177"/>
      <c r="C330" s="176" t="s">
        <v>2579</v>
      </c>
      <c r="D330" s="176" t="str">
        <f>"Attention à son alimentation : principe de nutrition 7"</f>
        <v>Attention à son alimentation : principe de nutrition 7</v>
      </c>
      <c r="E330" s="179" t="s">
        <v>3341</v>
      </c>
      <c r="F330" s="176"/>
    </row>
    <row r="331" spans="1:6" x14ac:dyDescent="0.2">
      <c r="A331" s="176"/>
      <c r="B331" s="177"/>
      <c r="C331" s="176" t="s">
        <v>2580</v>
      </c>
      <c r="D331" s="176" t="str">
        <f>"Attention à son alimentation : principe de nutrition 8"</f>
        <v>Attention à son alimentation : principe de nutrition 8</v>
      </c>
      <c r="E331" s="179" t="s">
        <v>3342</v>
      </c>
      <c r="F331" s="176"/>
    </row>
    <row r="332" spans="1:6" x14ac:dyDescent="0.2">
      <c r="A332" s="176"/>
      <c r="B332" s="177"/>
      <c r="C332" s="176" t="s">
        <v>2581</v>
      </c>
      <c r="D332" s="176" t="str">
        <f>"Attention à son alimentation : principe de nutrition 9"</f>
        <v>Attention à son alimentation : principe de nutrition 9</v>
      </c>
      <c r="E332" s="179" t="s">
        <v>3343</v>
      </c>
      <c r="F332" s="176"/>
    </row>
    <row r="333" spans="1:6" x14ac:dyDescent="0.2">
      <c r="A333" s="176"/>
      <c r="B333" s="177"/>
      <c r="C333" s="176" t="s">
        <v>2582</v>
      </c>
      <c r="D333" s="176" t="str">
        <f>"Attention à son alimentation : principe de nutrition 10"</f>
        <v>Attention à son alimentation : principe de nutrition 10</v>
      </c>
      <c r="E333" s="179" t="s">
        <v>3344</v>
      </c>
      <c r="F333" s="176"/>
    </row>
    <row r="334" spans="1:6" x14ac:dyDescent="0.2">
      <c r="A334" s="176"/>
      <c r="B334" s="177"/>
      <c r="C334" s="176"/>
      <c r="D334" s="176"/>
      <c r="E334" s="179" t="s">
        <v>3345</v>
      </c>
      <c r="F334" s="176"/>
    </row>
    <row r="335" spans="1:6" x14ac:dyDescent="0.2">
      <c r="A335" s="176"/>
      <c r="B335" s="177"/>
      <c r="C335" s="176"/>
      <c r="D335" s="176"/>
      <c r="E335" s="179" t="s">
        <v>3346</v>
      </c>
      <c r="F335" s="176"/>
    </row>
    <row r="336" spans="1:6" x14ac:dyDescent="0.2">
      <c r="A336" s="176"/>
      <c r="B336" s="177"/>
      <c r="C336" s="176"/>
      <c r="D336" s="176"/>
      <c r="E336" s="179" t="s">
        <v>3347</v>
      </c>
      <c r="F336" s="176"/>
    </row>
    <row r="337" spans="1:6" x14ac:dyDescent="0.2">
      <c r="A337" s="176"/>
      <c r="B337" s="177"/>
      <c r="C337" s="176"/>
      <c r="D337" s="176"/>
      <c r="E337" s="178" t="s">
        <v>3348</v>
      </c>
      <c r="F337" s="176"/>
    </row>
    <row r="338" spans="1:6" x14ac:dyDescent="0.2">
      <c r="A338" s="176"/>
      <c r="B338" s="177"/>
      <c r="C338" s="176"/>
      <c r="D338" s="176"/>
      <c r="E338" s="178" t="s">
        <v>3252</v>
      </c>
      <c r="F338" s="176"/>
    </row>
    <row r="339" spans="1:6" x14ac:dyDescent="0.2">
      <c r="A339" s="176"/>
      <c r="B339" s="177"/>
      <c r="C339" s="176" t="s">
        <v>2583</v>
      </c>
      <c r="D339" s="176" t="str">
        <f>"Viande, saucisse : fréquence (jours/semaine)"</f>
        <v>Viande, saucisse : fréquence (jours/semaine)</v>
      </c>
      <c r="E339" s="179" t="s">
        <v>3349</v>
      </c>
      <c r="F339" s="176" t="s">
        <v>2584</v>
      </c>
    </row>
    <row r="340" spans="1:6" x14ac:dyDescent="0.2">
      <c r="A340" s="176"/>
      <c r="B340" s="177"/>
      <c r="C340" s="176" t="s">
        <v>2585</v>
      </c>
      <c r="D340" s="176" t="str">
        <f>"Poisson : fréquence (jours/semaine)"</f>
        <v>Poisson : fréquence (jours/semaine)</v>
      </c>
      <c r="E340" s="179" t="s">
        <v>3350</v>
      </c>
      <c r="F340" s="176"/>
    </row>
    <row r="341" spans="1:6" x14ac:dyDescent="0.2">
      <c r="A341" s="176"/>
      <c r="B341" s="177"/>
      <c r="C341" s="176" t="s">
        <v>2586</v>
      </c>
      <c r="D341" s="176" t="str">
        <f>"Légumes, salade : fréquence (jours/semaine)"</f>
        <v>Légumes, salade : fréquence (jours/semaine)</v>
      </c>
      <c r="E341" s="179" t="s">
        <v>3351</v>
      </c>
      <c r="F341" s="176"/>
    </row>
    <row r="342" spans="1:6" x14ac:dyDescent="0.2">
      <c r="A342" s="176"/>
      <c r="B342" s="177"/>
      <c r="C342" s="176" t="s">
        <v>2587</v>
      </c>
      <c r="D342" s="176" t="str">
        <f>"Fruits : fréquence (jours/semaine)"</f>
        <v>Fruits : fréquence (jours/semaine)</v>
      </c>
      <c r="E342" s="179" t="s">
        <v>3352</v>
      </c>
      <c r="F342" s="176"/>
    </row>
    <row r="343" spans="1:6" x14ac:dyDescent="0.2">
      <c r="A343" s="176"/>
      <c r="B343" s="177"/>
      <c r="C343" s="176" t="s">
        <v>2588</v>
      </c>
      <c r="D343" s="176" t="str">
        <f>"Lait : fréquence (jours/semaine)"</f>
        <v>Lait : fréquence (jours/semaine)</v>
      </c>
      <c r="E343" s="179" t="s">
        <v>3353</v>
      </c>
      <c r="F343" s="176"/>
    </row>
    <row r="344" spans="1:6" x14ac:dyDescent="0.2">
      <c r="A344" s="176"/>
      <c r="B344" s="177"/>
      <c r="C344" s="176"/>
      <c r="D344" s="176"/>
      <c r="E344" s="179" t="s">
        <v>3354</v>
      </c>
      <c r="F344" s="176"/>
    </row>
    <row r="345" spans="1:6" x14ac:dyDescent="0.2">
      <c r="A345" s="176"/>
      <c r="B345" s="177"/>
      <c r="C345" s="176"/>
      <c r="D345" s="176"/>
      <c r="E345" s="179" t="s">
        <v>3355</v>
      </c>
      <c r="F345" s="176"/>
    </row>
    <row r="346" spans="1:6" x14ac:dyDescent="0.2">
      <c r="A346" s="176"/>
      <c r="B346" s="177"/>
      <c r="C346" s="176"/>
      <c r="D346" s="176"/>
      <c r="E346" s="179" t="s">
        <v>3356</v>
      </c>
      <c r="F346" s="176"/>
    </row>
    <row r="347" spans="1:6" x14ac:dyDescent="0.2">
      <c r="A347" s="176"/>
      <c r="B347" s="177"/>
      <c r="C347" s="176"/>
      <c r="D347" s="176"/>
      <c r="E347" s="178" t="s">
        <v>3252</v>
      </c>
      <c r="F347" s="176"/>
    </row>
    <row r="348" spans="1:6" x14ac:dyDescent="0.2">
      <c r="A348" s="176"/>
      <c r="B348" s="177"/>
      <c r="C348" s="176" t="s">
        <v>2589</v>
      </c>
      <c r="D348" s="176" t="str">
        <f>"Viande : blanche ou rouge"</f>
        <v>Viande : blanche ou rouge</v>
      </c>
      <c r="E348" s="179" t="s">
        <v>3357</v>
      </c>
      <c r="F348" s="176" t="s">
        <v>2590</v>
      </c>
    </row>
    <row r="349" spans="1:6" x14ac:dyDescent="0.2">
      <c r="A349" s="176"/>
      <c r="B349" s="177"/>
      <c r="C349" s="176"/>
      <c r="D349" s="176"/>
      <c r="E349" s="179" t="s">
        <v>3358</v>
      </c>
      <c r="F349" s="176"/>
    </row>
    <row r="350" spans="1:6" x14ac:dyDescent="0.2">
      <c r="A350" s="176"/>
      <c r="B350" s="177"/>
      <c r="C350" s="176"/>
      <c r="D350" s="176"/>
      <c r="E350" s="179" t="s">
        <v>3359</v>
      </c>
      <c r="F350" s="176"/>
    </row>
    <row r="351" spans="1:6" x14ac:dyDescent="0.2">
      <c r="A351" s="176"/>
      <c r="B351" s="177"/>
      <c r="C351" s="176"/>
      <c r="D351" s="176"/>
      <c r="E351" s="178" t="s">
        <v>3252</v>
      </c>
      <c r="F351" s="176"/>
    </row>
    <row r="352" spans="1:6" x14ac:dyDescent="0.2">
      <c r="A352" s="176"/>
      <c r="B352" s="177"/>
      <c r="C352" s="176" t="s">
        <v>2591</v>
      </c>
      <c r="D352" s="176" t="str">
        <f>"Alcool : consommation habituelle (fréquence)"</f>
        <v>Alcool : consommation habituelle (fréquence)</v>
      </c>
      <c r="E352" s="179" t="s">
        <v>3360</v>
      </c>
      <c r="F352" s="176" t="s">
        <v>2592</v>
      </c>
    </row>
    <row r="353" spans="1:6" x14ac:dyDescent="0.2">
      <c r="A353" s="176"/>
      <c r="B353" s="177"/>
      <c r="C353" s="176"/>
      <c r="D353" s="176"/>
      <c r="E353" s="179" t="s">
        <v>3361</v>
      </c>
      <c r="F353" s="176"/>
    </row>
    <row r="354" spans="1:6" x14ac:dyDescent="0.2">
      <c r="A354" s="176"/>
      <c r="B354" s="177"/>
      <c r="C354" s="176"/>
      <c r="D354" s="176"/>
      <c r="E354" s="179" t="s">
        <v>3362</v>
      </c>
      <c r="F354" s="176"/>
    </row>
    <row r="355" spans="1:6" x14ac:dyDescent="0.2">
      <c r="A355" s="176"/>
      <c r="B355" s="177"/>
      <c r="C355" s="176"/>
      <c r="D355" s="176"/>
      <c r="E355" s="179" t="s">
        <v>3363</v>
      </c>
      <c r="F355" s="176"/>
    </row>
    <row r="356" spans="1:6" x14ac:dyDescent="0.2">
      <c r="A356" s="176"/>
      <c r="B356" s="177"/>
      <c r="C356" s="176"/>
      <c r="D356" s="176"/>
      <c r="E356" s="179" t="s">
        <v>3364</v>
      </c>
      <c r="F356" s="176"/>
    </row>
    <row r="357" spans="1:6" x14ac:dyDescent="0.2">
      <c r="A357" s="176"/>
      <c r="B357" s="177"/>
      <c r="C357" s="176"/>
      <c r="D357" s="176"/>
      <c r="E357" s="179" t="s">
        <v>3365</v>
      </c>
      <c r="F357" s="176"/>
    </row>
    <row r="358" spans="1:6" x14ac:dyDescent="0.2">
      <c r="A358" s="176"/>
      <c r="B358" s="177"/>
      <c r="C358" s="176"/>
      <c r="D358" s="176"/>
      <c r="E358" s="179" t="s">
        <v>3366</v>
      </c>
      <c r="F358" s="176"/>
    </row>
    <row r="359" spans="1:6" x14ac:dyDescent="0.2">
      <c r="A359" s="176"/>
      <c r="B359" s="177"/>
      <c r="C359" s="176"/>
      <c r="D359" s="176"/>
      <c r="E359" s="178" t="s">
        <v>3252</v>
      </c>
      <c r="F359" s="176"/>
    </row>
    <row r="360" spans="1:6" x14ac:dyDescent="0.2">
      <c r="A360" s="176"/>
      <c r="B360" s="177"/>
      <c r="C360" s="176" t="s">
        <v>2593</v>
      </c>
      <c r="D360" s="176" t="str">
        <f>"Cigarettes : nombre/jour"</f>
        <v>Cigarettes : nombre/jour</v>
      </c>
      <c r="E360" s="179" t="s">
        <v>3367</v>
      </c>
      <c r="F360" s="176" t="s">
        <v>2594</v>
      </c>
    </row>
    <row r="361" spans="1:6" x14ac:dyDescent="0.2">
      <c r="A361" s="176"/>
      <c r="B361" s="177"/>
      <c r="C361" s="176" t="s">
        <v>2595</v>
      </c>
      <c r="D361" s="176" t="str">
        <f>"Cigares : nombre/jour"</f>
        <v>Cigares : nombre/jour</v>
      </c>
      <c r="E361" s="178" t="s">
        <v>3252</v>
      </c>
      <c r="F361" s="176"/>
    </row>
    <row r="362" spans="1:6" x14ac:dyDescent="0.2">
      <c r="A362" s="176"/>
      <c r="B362" s="177"/>
      <c r="C362" s="176" t="s">
        <v>2596</v>
      </c>
      <c r="D362" s="176" t="str">
        <f>"Cigarillos : nombre/jour"</f>
        <v>Cigarillos : nombre/jour</v>
      </c>
      <c r="E362" s="178"/>
      <c r="F362" s="176"/>
    </row>
    <row r="363" spans="1:6" x14ac:dyDescent="0.2">
      <c r="A363" s="176"/>
      <c r="B363" s="177"/>
      <c r="C363" s="176" t="s">
        <v>2597</v>
      </c>
      <c r="D363" s="176" t="str">
        <f>"Pipes : nombre/jour"</f>
        <v>Pipes : nombre/jour</v>
      </c>
      <c r="E363" s="178"/>
      <c r="F363" s="176"/>
    </row>
    <row r="364" spans="1:6" x14ac:dyDescent="0.2">
      <c r="A364" s="176"/>
      <c r="B364" s="177"/>
      <c r="C364" s="176" t="s">
        <v>2598</v>
      </c>
      <c r="D364" s="176" t="str">
        <f>"Ex-fumeurs : arrêt tabac : nombre années"</f>
        <v>Ex-fumeurs : arrêt tabac : nombre années</v>
      </c>
      <c r="E364" s="179" t="s">
        <v>3368</v>
      </c>
      <c r="F364" s="176" t="s">
        <v>2599</v>
      </c>
    </row>
    <row r="365" spans="1:6" x14ac:dyDescent="0.2">
      <c r="A365" s="176"/>
      <c r="B365" s="177"/>
      <c r="C365" s="176"/>
      <c r="D365" s="176"/>
      <c r="E365" s="178" t="s">
        <v>3252</v>
      </c>
      <c r="F365" s="176"/>
    </row>
    <row r="366" spans="1:6" x14ac:dyDescent="0.2">
      <c r="A366" s="176"/>
      <c r="B366" s="177"/>
      <c r="C366" s="176" t="s">
        <v>2600</v>
      </c>
      <c r="D366" s="176" t="str">
        <f>"Fumeurs : tentative arrêter de fumer 2 semaines ou plus (12 mois)"</f>
        <v>Fumeurs : tentative arrêter de fumer 2 semaines ou plus (12 mois)</v>
      </c>
      <c r="E366" s="179" t="s">
        <v>3369</v>
      </c>
      <c r="F366" s="176" t="s">
        <v>2601</v>
      </c>
    </row>
    <row r="367" spans="1:6" x14ac:dyDescent="0.2">
      <c r="A367" s="176"/>
      <c r="B367" s="177"/>
      <c r="C367" s="176"/>
      <c r="D367" s="176"/>
      <c r="E367" s="179" t="s">
        <v>3275</v>
      </c>
      <c r="F367" s="176"/>
    </row>
    <row r="368" spans="1:6" x14ac:dyDescent="0.2">
      <c r="A368" s="176"/>
      <c r="B368" s="177"/>
      <c r="C368" s="176"/>
      <c r="D368" s="176"/>
      <c r="E368" s="178" t="s">
        <v>3252</v>
      </c>
      <c r="F368" s="176"/>
    </row>
    <row r="369" spans="1:6" x14ac:dyDescent="0.2">
      <c r="A369" s="176"/>
      <c r="B369" s="177"/>
      <c r="C369" s="176" t="s">
        <v>2602</v>
      </c>
      <c r="D369" s="176" t="str">
        <f>"Fumeurs : désir arrêter de fumer"</f>
        <v>Fumeurs : désir arrêter de fumer</v>
      </c>
      <c r="E369" s="179" t="s">
        <v>3274</v>
      </c>
      <c r="F369" s="176" t="s">
        <v>2603</v>
      </c>
    </row>
    <row r="370" spans="1:6" x14ac:dyDescent="0.2">
      <c r="A370" s="176"/>
      <c r="B370" s="177"/>
      <c r="C370" s="176"/>
      <c r="D370" s="176"/>
      <c r="E370" s="179" t="s">
        <v>3370</v>
      </c>
      <c r="F370" s="176"/>
    </row>
    <row r="371" spans="1:6" x14ac:dyDescent="0.2">
      <c r="A371" s="176"/>
      <c r="B371" s="177"/>
      <c r="C371" s="176"/>
      <c r="D371" s="176"/>
      <c r="E371" s="178" t="s">
        <v>3252</v>
      </c>
      <c r="F371" s="176"/>
    </row>
    <row r="372" spans="1:6" x14ac:dyDescent="0.2">
      <c r="A372" s="176"/>
      <c r="B372" s="177"/>
      <c r="C372" s="176" t="s">
        <v>2604</v>
      </c>
      <c r="D372" s="176" t="str">
        <f>"Fumeurs : aide pour renoncer au tabac: type 1"</f>
        <v>Fumeurs : aide pour renoncer au tabac: type 1</v>
      </c>
      <c r="E372" s="179" t="s">
        <v>3371</v>
      </c>
      <c r="F372" s="176" t="s">
        <v>2605</v>
      </c>
    </row>
    <row r="373" spans="1:6" x14ac:dyDescent="0.2">
      <c r="A373" s="176"/>
      <c r="B373" s="177"/>
      <c r="C373" s="176" t="s">
        <v>2606</v>
      </c>
      <c r="D373" s="176" t="str">
        <f>"Fumeurs : aide pour renoncer au tabac: type 2"</f>
        <v>Fumeurs : aide pour renoncer au tabac: type 2</v>
      </c>
      <c r="E373" s="179" t="s">
        <v>3372</v>
      </c>
      <c r="F373" s="176"/>
    </row>
    <row r="374" spans="1:6" x14ac:dyDescent="0.2">
      <c r="A374" s="176"/>
      <c r="B374" s="177"/>
      <c r="C374" s="176" t="s">
        <v>2607</v>
      </c>
      <c r="D374" s="176" t="str">
        <f>"Fumeurs : aide pour renoncer au tabac: type 3"</f>
        <v>Fumeurs : aide pour renoncer au tabac: type 3</v>
      </c>
      <c r="E374" s="179" t="s">
        <v>3373</v>
      </c>
      <c r="F374" s="176"/>
    </row>
    <row r="375" spans="1:6" x14ac:dyDescent="0.2">
      <c r="A375" s="176"/>
      <c r="B375" s="177"/>
      <c r="C375" s="176" t="s">
        <v>2608</v>
      </c>
      <c r="D375" s="176" t="str">
        <f>"Fumeurs : aide pour renoncer au tabac: type 4"</f>
        <v>Fumeurs : aide pour renoncer au tabac: type 4</v>
      </c>
      <c r="E375" s="179" t="s">
        <v>3374</v>
      </c>
      <c r="F375" s="176"/>
    </row>
    <row r="376" spans="1:6" x14ac:dyDescent="0.2">
      <c r="A376" s="176"/>
      <c r="B376" s="177"/>
      <c r="C376" s="176" t="s">
        <v>2609</v>
      </c>
      <c r="D376" s="176" t="str">
        <f>"Fumeurs : aide pour renoncer au tabac: type 5"</f>
        <v>Fumeurs : aide pour renoncer au tabac: type 5</v>
      </c>
      <c r="E376" s="179" t="s">
        <v>3375</v>
      </c>
      <c r="F376" s="176"/>
    </row>
    <row r="377" spans="1:6" x14ac:dyDescent="0.2">
      <c r="A377" s="176"/>
      <c r="B377" s="177"/>
      <c r="C377" s="176"/>
      <c r="D377" s="176"/>
      <c r="E377" s="179" t="s">
        <v>3376</v>
      </c>
      <c r="F377" s="176"/>
    </row>
    <row r="378" spans="1:6" x14ac:dyDescent="0.2">
      <c r="A378" s="176"/>
      <c r="B378" s="177"/>
      <c r="C378" s="176"/>
      <c r="D378" s="176"/>
      <c r="E378" s="179" t="s">
        <v>3377</v>
      </c>
      <c r="F378" s="176"/>
    </row>
    <row r="379" spans="1:6" x14ac:dyDescent="0.2">
      <c r="A379" s="176"/>
      <c r="B379" s="177"/>
      <c r="C379" s="176"/>
      <c r="D379" s="176"/>
      <c r="E379" s="179" t="s">
        <v>3378</v>
      </c>
      <c r="F379" s="176"/>
    </row>
    <row r="380" spans="1:6" x14ac:dyDescent="0.2">
      <c r="A380" s="176"/>
      <c r="B380" s="177"/>
      <c r="C380" s="176"/>
      <c r="D380" s="176"/>
      <c r="E380" s="178" t="s">
        <v>3252</v>
      </c>
      <c r="F380" s="176"/>
    </row>
    <row r="381" spans="1:6" x14ac:dyDescent="0.2">
      <c r="A381" s="176"/>
      <c r="B381" s="177"/>
      <c r="C381" s="176" t="s">
        <v>2610</v>
      </c>
      <c r="D381" s="176" t="str">
        <f>"Occupation principale"</f>
        <v>Occupation principale</v>
      </c>
      <c r="E381" s="179" t="s">
        <v>3379</v>
      </c>
      <c r="F381" s="176" t="s">
        <v>2611</v>
      </c>
    </row>
    <row r="382" spans="1:6" x14ac:dyDescent="0.2">
      <c r="A382" s="176"/>
      <c r="B382" s="177"/>
      <c r="C382" s="176"/>
      <c r="D382" s="176"/>
      <c r="E382" s="179" t="s">
        <v>3380</v>
      </c>
      <c r="F382" s="176"/>
    </row>
    <row r="383" spans="1:6" x14ac:dyDescent="0.2">
      <c r="A383" s="176"/>
      <c r="B383" s="177"/>
      <c r="C383" s="176"/>
      <c r="D383" s="176"/>
      <c r="E383" s="179" t="s">
        <v>3381</v>
      </c>
      <c r="F383" s="176"/>
    </row>
    <row r="384" spans="1:6" x14ac:dyDescent="0.2">
      <c r="A384" s="176"/>
      <c r="B384" s="177"/>
      <c r="C384" s="176"/>
      <c r="D384" s="176"/>
      <c r="E384" s="179" t="s">
        <v>3382</v>
      </c>
      <c r="F384" s="176"/>
    </row>
    <row r="385" spans="1:6" x14ac:dyDescent="0.2">
      <c r="A385" s="176"/>
      <c r="B385" s="177"/>
      <c r="C385" s="176"/>
      <c r="D385" s="176"/>
      <c r="E385" s="179" t="s">
        <v>3383</v>
      </c>
      <c r="F385" s="176"/>
    </row>
    <row r="386" spans="1:6" x14ac:dyDescent="0.2">
      <c r="A386" s="176"/>
      <c r="B386" s="177"/>
      <c r="C386" s="176"/>
      <c r="D386" s="176"/>
      <c r="E386" s="179" t="s">
        <v>3384</v>
      </c>
      <c r="F386" s="176"/>
    </row>
    <row r="387" spans="1:6" x14ac:dyDescent="0.2">
      <c r="A387" s="176"/>
      <c r="B387" s="177"/>
      <c r="C387" s="176"/>
      <c r="D387" s="176"/>
      <c r="E387" s="179" t="s">
        <v>3385</v>
      </c>
      <c r="F387" s="176"/>
    </row>
    <row r="388" spans="1:6" x14ac:dyDescent="0.2">
      <c r="A388" s="176"/>
      <c r="B388" s="177"/>
      <c r="C388" s="176"/>
      <c r="D388" s="176"/>
      <c r="E388" s="179" t="s">
        <v>3386</v>
      </c>
      <c r="F388" s="176"/>
    </row>
    <row r="389" spans="1:6" x14ac:dyDescent="0.2">
      <c r="A389" s="176"/>
      <c r="B389" s="177"/>
      <c r="C389" s="176"/>
      <c r="D389" s="176"/>
      <c r="E389" s="179" t="s">
        <v>3387</v>
      </c>
      <c r="F389" s="176"/>
    </row>
    <row r="390" spans="1:6" x14ac:dyDescent="0.2">
      <c r="A390" s="176"/>
      <c r="B390" s="177"/>
      <c r="C390" s="176"/>
      <c r="D390" s="176"/>
      <c r="E390" s="179" t="s">
        <v>3388</v>
      </c>
      <c r="F390" s="176"/>
    </row>
    <row r="391" spans="1:6" x14ac:dyDescent="0.2">
      <c r="A391" s="176"/>
      <c r="B391" s="177"/>
      <c r="C391" s="176"/>
      <c r="D391" s="176"/>
      <c r="E391" s="179" t="s">
        <v>3389</v>
      </c>
      <c r="F391" s="176"/>
    </row>
    <row r="392" spans="1:6" x14ac:dyDescent="0.2">
      <c r="A392" s="176"/>
      <c r="B392" s="177"/>
      <c r="C392" s="176"/>
      <c r="D392" s="176"/>
      <c r="E392" s="179" t="s">
        <v>3390</v>
      </c>
      <c r="F392" s="176"/>
    </row>
    <row r="393" spans="1:6" x14ac:dyDescent="0.2">
      <c r="A393" s="176"/>
      <c r="B393" s="177"/>
      <c r="C393" s="176"/>
      <c r="D393" s="176"/>
      <c r="E393" s="178" t="s">
        <v>3252</v>
      </c>
      <c r="F393" s="176"/>
    </row>
    <row r="394" spans="1:6" x14ac:dyDescent="0.2">
      <c r="A394" s="176"/>
      <c r="B394" s="177"/>
      <c r="C394" s="176" t="s">
        <v>2612</v>
      </c>
      <c r="D394" s="176" t="str">
        <f>"Activité professionnelle accessoire: type"</f>
        <v>Activité professionnelle accessoire: type</v>
      </c>
      <c r="E394" s="179" t="s">
        <v>3391</v>
      </c>
      <c r="F394" s="176" t="s">
        <v>2613</v>
      </c>
    </row>
    <row r="395" spans="1:6" x14ac:dyDescent="0.2">
      <c r="A395" s="176"/>
      <c r="B395" s="177"/>
      <c r="C395" s="176"/>
      <c r="D395" s="176"/>
      <c r="E395" s="179" t="s">
        <v>3392</v>
      </c>
      <c r="F395" s="176"/>
    </row>
    <row r="396" spans="1:6" x14ac:dyDescent="0.2">
      <c r="A396" s="176"/>
      <c r="B396" s="177"/>
      <c r="C396" s="176"/>
      <c r="D396" s="176"/>
      <c r="E396" s="179" t="s">
        <v>3393</v>
      </c>
      <c r="F396" s="176"/>
    </row>
    <row r="397" spans="1:6" x14ac:dyDescent="0.2">
      <c r="A397" s="176"/>
      <c r="B397" s="177"/>
      <c r="C397" s="176"/>
      <c r="D397" s="176"/>
      <c r="E397" s="179" t="s">
        <v>3394</v>
      </c>
      <c r="F397" s="176"/>
    </row>
    <row r="398" spans="1:6" x14ac:dyDescent="0.2">
      <c r="A398" s="176"/>
      <c r="B398" s="177"/>
      <c r="C398" s="176"/>
      <c r="D398" s="176"/>
      <c r="E398" s="179" t="s">
        <v>3395</v>
      </c>
      <c r="F398" s="176"/>
    </row>
    <row r="399" spans="1:6" x14ac:dyDescent="0.2">
      <c r="A399" s="176"/>
      <c r="B399" s="177"/>
      <c r="C399" s="176"/>
      <c r="D399" s="176"/>
      <c r="E399" s="178" t="s">
        <v>3252</v>
      </c>
      <c r="F399" s="176"/>
    </row>
    <row r="400" spans="1:6" x14ac:dyDescent="0.2">
      <c r="A400" s="176"/>
      <c r="B400" s="177"/>
      <c r="C400" s="176" t="s">
        <v>2614</v>
      </c>
      <c r="D400" s="176" t="str">
        <f>"Salarié ou indépendant"</f>
        <v>Salarié ou indépendant</v>
      </c>
      <c r="E400" s="179" t="s">
        <v>3396</v>
      </c>
      <c r="F400" s="176" t="s">
        <v>2615</v>
      </c>
    </row>
    <row r="401" spans="1:6" x14ac:dyDescent="0.2">
      <c r="A401" s="176"/>
      <c r="B401" s="177"/>
      <c r="C401" s="176"/>
      <c r="D401" s="176"/>
      <c r="E401" s="179" t="s">
        <v>3397</v>
      </c>
      <c r="F401" s="176"/>
    </row>
    <row r="402" spans="1:6" x14ac:dyDescent="0.2">
      <c r="A402" s="176"/>
      <c r="B402" s="177"/>
      <c r="C402" s="176"/>
      <c r="D402" s="176"/>
      <c r="E402" s="178" t="s">
        <v>3252</v>
      </c>
      <c r="F402" s="176"/>
    </row>
    <row r="403" spans="1:6" x14ac:dyDescent="0.2">
      <c r="A403" s="176"/>
      <c r="B403" s="177"/>
      <c r="C403" s="176" t="s">
        <v>2616</v>
      </c>
      <c r="D403" s="176" t="str">
        <f>"Salarié: position hiérarchique"</f>
        <v>Salarié: position hiérarchique</v>
      </c>
      <c r="E403" s="179" t="s">
        <v>3398</v>
      </c>
      <c r="F403" s="176" t="s">
        <v>2617</v>
      </c>
    </row>
    <row r="404" spans="1:6" x14ac:dyDescent="0.2">
      <c r="A404" s="176"/>
      <c r="B404" s="177"/>
      <c r="C404" s="176"/>
      <c r="D404" s="176"/>
      <c r="E404" s="179" t="s">
        <v>3399</v>
      </c>
      <c r="F404" s="176"/>
    </row>
    <row r="405" spans="1:6" x14ac:dyDescent="0.2">
      <c r="A405" s="176"/>
      <c r="B405" s="177"/>
      <c r="C405" s="176"/>
      <c r="D405" s="176"/>
      <c r="E405" s="179" t="s">
        <v>3400</v>
      </c>
      <c r="F405" s="176"/>
    </row>
    <row r="406" spans="1:6" x14ac:dyDescent="0.2">
      <c r="A406" s="176"/>
      <c r="B406" s="177"/>
      <c r="C406" s="176"/>
      <c r="D406" s="176"/>
      <c r="E406" s="179" t="s">
        <v>3401</v>
      </c>
      <c r="F406" s="176"/>
    </row>
    <row r="407" spans="1:6" x14ac:dyDescent="0.2">
      <c r="A407" s="176"/>
      <c r="B407" s="177"/>
      <c r="C407" s="176"/>
      <c r="D407" s="176"/>
      <c r="E407" s="178" t="s">
        <v>3252</v>
      </c>
      <c r="F407" s="176"/>
    </row>
    <row r="408" spans="1:6" x14ac:dyDescent="0.2">
      <c r="A408" s="176"/>
      <c r="B408" s="177"/>
      <c r="C408" s="176" t="s">
        <v>2618</v>
      </c>
      <c r="D408" s="176" t="str">
        <f>"Nomenclature suisse des professions"</f>
        <v>Nomenclature suisse des professions</v>
      </c>
      <c r="E408" s="178" t="s">
        <v>2619</v>
      </c>
      <c r="F408" s="170" t="s">
        <v>2620</v>
      </c>
    </row>
    <row r="409" spans="1:6" x14ac:dyDescent="0.2">
      <c r="A409" s="176"/>
      <c r="B409" s="177"/>
      <c r="C409" s="178" t="s">
        <v>2621</v>
      </c>
      <c r="D409" s="176" t="str">
        <f>"Nomenclature suisse des professions (texte allemand)"</f>
        <v>Nomenclature suisse des professions (texte allemand)</v>
      </c>
      <c r="E409" s="178" t="s">
        <v>2622</v>
      </c>
      <c r="F409" s="178"/>
    </row>
    <row r="410" spans="1:6" x14ac:dyDescent="0.2">
      <c r="A410" s="176"/>
      <c r="B410" s="177"/>
      <c r="C410" s="178" t="s">
        <v>2623</v>
      </c>
      <c r="D410" s="176" t="str">
        <f>"Nomenclature suisse des professions (texte français)"</f>
        <v>Nomenclature suisse des professions (texte français)</v>
      </c>
      <c r="E410" s="178" t="s">
        <v>2622</v>
      </c>
      <c r="F410" s="178"/>
    </row>
    <row r="411" spans="1:6" x14ac:dyDescent="0.2">
      <c r="A411" s="176"/>
      <c r="B411" s="177"/>
      <c r="C411" s="178" t="s">
        <v>2624</v>
      </c>
      <c r="D411" s="176" t="str">
        <f>"Nomenclature suisse des professions (texte italien)"</f>
        <v>Nomenclature suisse des professions (texte italien)</v>
      </c>
      <c r="E411" s="178" t="s">
        <v>2622</v>
      </c>
      <c r="F411" s="178"/>
    </row>
    <row r="412" spans="1:6" x14ac:dyDescent="0.2">
      <c r="A412" s="176"/>
      <c r="B412" s="177"/>
      <c r="C412" s="176" t="s">
        <v>2625</v>
      </c>
      <c r="D412" s="176" t="str">
        <f>"Logement: nombre de pièces"</f>
        <v>Logement: nombre de pièces</v>
      </c>
      <c r="E412" s="179" t="s">
        <v>3402</v>
      </c>
      <c r="F412" s="176" t="s">
        <v>2626</v>
      </c>
    </row>
    <row r="413" spans="1:6" x14ac:dyDescent="0.2">
      <c r="A413" s="176"/>
      <c r="B413" s="177"/>
      <c r="C413" s="176"/>
      <c r="D413" s="176"/>
      <c r="E413" s="179" t="s">
        <v>3403</v>
      </c>
      <c r="F413" s="176"/>
    </row>
    <row r="414" spans="1:6" x14ac:dyDescent="0.2">
      <c r="A414" s="176"/>
      <c r="B414" s="177"/>
      <c r="C414" s="176"/>
      <c r="D414" s="176"/>
      <c r="E414" s="179" t="s">
        <v>3404</v>
      </c>
      <c r="F414" s="176"/>
    </row>
    <row r="415" spans="1:6" x14ac:dyDescent="0.2">
      <c r="A415" s="176"/>
      <c r="B415" s="177"/>
      <c r="C415" s="176"/>
      <c r="D415" s="176"/>
      <c r="E415" s="179" t="s">
        <v>3405</v>
      </c>
      <c r="F415" s="176"/>
    </row>
    <row r="416" spans="1:6" x14ac:dyDescent="0.2">
      <c r="A416" s="176"/>
      <c r="B416" s="177"/>
      <c r="C416" s="176"/>
      <c r="D416" s="176"/>
      <c r="E416" s="179" t="s">
        <v>3406</v>
      </c>
      <c r="F416" s="176"/>
    </row>
    <row r="417" spans="1:6" x14ac:dyDescent="0.2">
      <c r="A417" s="176"/>
      <c r="B417" s="177"/>
      <c r="C417" s="176"/>
      <c r="D417" s="176"/>
      <c r="E417" s="179" t="s">
        <v>3407</v>
      </c>
      <c r="F417" s="176"/>
    </row>
    <row r="418" spans="1:6" x14ac:dyDescent="0.2">
      <c r="A418" s="176"/>
      <c r="B418" s="177"/>
      <c r="C418" s="176"/>
      <c r="D418" s="176"/>
      <c r="E418" s="179" t="s">
        <v>3408</v>
      </c>
      <c r="F418" s="176"/>
    </row>
    <row r="419" spans="1:6" x14ac:dyDescent="0.2">
      <c r="A419" s="176"/>
      <c r="B419" s="177"/>
      <c r="C419" s="176"/>
      <c r="D419" s="176"/>
      <c r="E419" s="179" t="s">
        <v>3409</v>
      </c>
      <c r="F419" s="176"/>
    </row>
    <row r="420" spans="1:6" x14ac:dyDescent="0.2">
      <c r="A420" s="176"/>
      <c r="B420" s="177"/>
      <c r="C420" s="176"/>
      <c r="D420" s="176"/>
      <c r="E420" s="178" t="s">
        <v>3252</v>
      </c>
      <c r="F420" s="176"/>
    </row>
    <row r="421" spans="1:6" x14ac:dyDescent="0.2">
      <c r="A421" s="176"/>
      <c r="B421" s="177"/>
      <c r="C421" s="176" t="s">
        <v>2627</v>
      </c>
      <c r="D421" s="176" t="str">
        <f>"Voitures dans le ménage: nombre"</f>
        <v>Voitures dans le ménage: nombre</v>
      </c>
      <c r="E421" s="179" t="s">
        <v>3410</v>
      </c>
      <c r="F421" s="176" t="s">
        <v>2628</v>
      </c>
    </row>
    <row r="422" spans="1:6" x14ac:dyDescent="0.2">
      <c r="A422" s="176"/>
      <c r="B422" s="177"/>
      <c r="C422" s="176"/>
      <c r="D422" s="176"/>
      <c r="E422" s="178" t="s">
        <v>3252</v>
      </c>
      <c r="F422" s="176"/>
    </row>
    <row r="423" spans="1:6" x14ac:dyDescent="0.2">
      <c r="A423" s="176"/>
      <c r="B423" s="177"/>
      <c r="C423" s="176" t="s">
        <v>2629</v>
      </c>
      <c r="D423" s="176" t="str">
        <f>"Frais de guérison: qui prend en charge"</f>
        <v>Frais de guérison: qui prend en charge</v>
      </c>
      <c r="E423" s="179" t="s">
        <v>3411</v>
      </c>
      <c r="F423" s="176" t="s">
        <v>2630</v>
      </c>
    </row>
    <row r="424" spans="1:6" x14ac:dyDescent="0.2">
      <c r="A424" s="176"/>
      <c r="B424" s="177"/>
      <c r="C424" s="176"/>
      <c r="D424" s="176"/>
      <c r="E424" s="179" t="s">
        <v>3412</v>
      </c>
      <c r="F424" s="176"/>
    </row>
    <row r="425" spans="1:6" x14ac:dyDescent="0.2">
      <c r="A425" s="176"/>
      <c r="B425" s="177"/>
      <c r="C425" s="176"/>
      <c r="D425" s="176"/>
      <c r="E425" s="178" t="s">
        <v>3252</v>
      </c>
      <c r="F425" s="176"/>
    </row>
    <row r="426" spans="1:6" x14ac:dyDescent="0.2">
      <c r="A426" s="176"/>
      <c r="B426" s="177"/>
      <c r="C426" s="176" t="s">
        <v>2631</v>
      </c>
      <c r="D426" s="176" t="str">
        <f>"Caisse-maladie: durée d'assurance"</f>
        <v>Caisse-maladie: durée d'assurance</v>
      </c>
      <c r="E426" s="179" t="s">
        <v>3413</v>
      </c>
      <c r="F426" s="176" t="s">
        <v>2632</v>
      </c>
    </row>
    <row r="427" spans="1:6" x14ac:dyDescent="0.2">
      <c r="A427" s="176"/>
      <c r="B427" s="177"/>
      <c r="C427" s="176"/>
      <c r="D427" s="176"/>
      <c r="E427" s="179" t="s">
        <v>3414</v>
      </c>
      <c r="F427" s="176"/>
    </row>
    <row r="428" spans="1:6" x14ac:dyDescent="0.2">
      <c r="A428" s="176"/>
      <c r="B428" s="177"/>
      <c r="C428" s="176"/>
      <c r="D428" s="176"/>
      <c r="E428" s="179" t="s">
        <v>3415</v>
      </c>
      <c r="F428" s="176"/>
    </row>
    <row r="429" spans="1:6" x14ac:dyDescent="0.2">
      <c r="A429" s="176"/>
      <c r="B429" s="177"/>
      <c r="C429" s="176"/>
      <c r="D429" s="176"/>
      <c r="E429" s="179" t="s">
        <v>3416</v>
      </c>
      <c r="F429" s="176"/>
    </row>
    <row r="430" spans="1:6" x14ac:dyDescent="0.2">
      <c r="A430" s="176"/>
      <c r="B430" s="177"/>
      <c r="C430" s="176"/>
      <c r="D430" s="176"/>
      <c r="E430" s="179" t="s">
        <v>3417</v>
      </c>
      <c r="F430" s="176"/>
    </row>
    <row r="431" spans="1:6" x14ac:dyDescent="0.2">
      <c r="A431" s="176"/>
      <c r="B431" s="177"/>
      <c r="C431" s="176"/>
      <c r="D431" s="176"/>
      <c r="E431" s="178" t="s">
        <v>3252</v>
      </c>
      <c r="F431" s="176"/>
    </row>
    <row r="432" spans="1:6" x14ac:dyDescent="0.2">
      <c r="A432" s="176"/>
      <c r="B432" s="177"/>
      <c r="C432" s="176" t="s">
        <v>2633</v>
      </c>
      <c r="D432" s="176" t="str">
        <f>"Caisse-maladie: critère de choix 1"</f>
        <v>Caisse-maladie: critère de choix 1</v>
      </c>
      <c r="E432" s="179" t="s">
        <v>3418</v>
      </c>
      <c r="F432" s="176" t="s">
        <v>2634</v>
      </c>
    </row>
    <row r="433" spans="1:6" x14ac:dyDescent="0.2">
      <c r="A433" s="176"/>
      <c r="B433" s="177"/>
      <c r="C433" s="176" t="s">
        <v>2635</v>
      </c>
      <c r="D433" s="176" t="str">
        <f>"Caisse-maladie: critère de choix 2"</f>
        <v>Caisse-maladie: critère de choix 2</v>
      </c>
      <c r="E433" s="179" t="s">
        <v>3419</v>
      </c>
      <c r="F433" s="176"/>
    </row>
    <row r="434" spans="1:6" x14ac:dyDescent="0.2">
      <c r="A434" s="176"/>
      <c r="B434" s="177"/>
      <c r="C434" s="176" t="s">
        <v>2636</v>
      </c>
      <c r="D434" s="176" t="str">
        <f>"Caisse-maladie: critère de choix 3"</f>
        <v>Caisse-maladie: critère de choix 3</v>
      </c>
      <c r="E434" s="179" t="s">
        <v>3420</v>
      </c>
      <c r="F434" s="176"/>
    </row>
    <row r="435" spans="1:6" x14ac:dyDescent="0.2">
      <c r="A435" s="176"/>
      <c r="B435" s="177"/>
      <c r="C435" s="176" t="s">
        <v>2637</v>
      </c>
      <c r="D435" s="176" t="str">
        <f>"Caisse-maladie: critère de choix 4"</f>
        <v>Caisse-maladie: critère de choix 4</v>
      </c>
      <c r="E435" s="179" t="s">
        <v>3421</v>
      </c>
      <c r="F435" s="176"/>
    </row>
    <row r="436" spans="1:6" x14ac:dyDescent="0.2">
      <c r="A436" s="176"/>
      <c r="B436" s="177"/>
      <c r="C436" s="176" t="s">
        <v>2638</v>
      </c>
      <c r="D436" s="176" t="str">
        <f>"Caisse-maladie: critère de choix 5"</f>
        <v>Caisse-maladie: critère de choix 5</v>
      </c>
      <c r="E436" s="179" t="s">
        <v>3422</v>
      </c>
      <c r="F436" s="176"/>
    </row>
    <row r="437" spans="1:6" x14ac:dyDescent="0.2">
      <c r="A437" s="176"/>
      <c r="B437" s="177"/>
      <c r="C437" s="176"/>
      <c r="D437" s="176"/>
      <c r="E437" s="179" t="s">
        <v>3423</v>
      </c>
      <c r="F437" s="176"/>
    </row>
    <row r="438" spans="1:6" x14ac:dyDescent="0.2">
      <c r="A438" s="176"/>
      <c r="B438" s="177"/>
      <c r="C438" s="176"/>
      <c r="D438" s="176"/>
      <c r="E438" s="179" t="s">
        <v>3424</v>
      </c>
      <c r="F438" s="176"/>
    </row>
    <row r="439" spans="1:6" x14ac:dyDescent="0.2">
      <c r="A439" s="176"/>
      <c r="B439" s="177"/>
      <c r="C439" s="176"/>
      <c r="D439" s="176"/>
      <c r="E439" s="179" t="s">
        <v>3425</v>
      </c>
      <c r="F439" s="176"/>
    </row>
    <row r="440" spans="1:6" x14ac:dyDescent="0.2">
      <c r="A440" s="176"/>
      <c r="B440" s="177"/>
      <c r="C440" s="176"/>
      <c r="D440" s="176"/>
      <c r="E440" s="179" t="s">
        <v>3426</v>
      </c>
      <c r="F440" s="176"/>
    </row>
    <row r="441" spans="1:6" x14ac:dyDescent="0.2">
      <c r="A441" s="176"/>
      <c r="B441" s="177"/>
      <c r="C441" s="176"/>
      <c r="D441" s="176"/>
      <c r="E441" s="178" t="s">
        <v>3252</v>
      </c>
      <c r="F441" s="176"/>
    </row>
    <row r="442" spans="1:6" x14ac:dyDescent="0.2">
      <c r="A442" s="176"/>
      <c r="B442" s="177"/>
      <c r="C442" s="176" t="s">
        <v>2639</v>
      </c>
      <c r="D442" s="176" t="str">
        <f>"Type d'assurance-maladie"</f>
        <v>Type d'assurance-maladie</v>
      </c>
      <c r="E442" s="179" t="s">
        <v>3427</v>
      </c>
      <c r="F442" s="176" t="s">
        <v>2640</v>
      </c>
    </row>
    <row r="443" spans="1:6" x14ac:dyDescent="0.2">
      <c r="A443" s="176"/>
      <c r="B443" s="177"/>
      <c r="C443" s="176"/>
      <c r="D443" s="176"/>
      <c r="E443" s="179" t="s">
        <v>3428</v>
      </c>
      <c r="F443" s="176"/>
    </row>
    <row r="444" spans="1:6" x14ac:dyDescent="0.2">
      <c r="A444" s="176"/>
      <c r="B444" s="177"/>
      <c r="C444" s="176"/>
      <c r="D444" s="176"/>
      <c r="E444" s="179" t="s">
        <v>3429</v>
      </c>
      <c r="F444" s="176"/>
    </row>
    <row r="445" spans="1:6" x14ac:dyDescent="0.2">
      <c r="A445" s="176"/>
      <c r="B445" s="177"/>
      <c r="C445" s="176"/>
      <c r="D445" s="176"/>
      <c r="E445" s="179" t="s">
        <v>3430</v>
      </c>
      <c r="F445" s="176"/>
    </row>
    <row r="446" spans="1:6" x14ac:dyDescent="0.2">
      <c r="A446" s="176"/>
      <c r="B446" s="177"/>
      <c r="C446" s="176"/>
      <c r="D446" s="176"/>
      <c r="E446" s="179" t="s">
        <v>3431</v>
      </c>
      <c r="F446" s="176"/>
    </row>
    <row r="447" spans="1:6" x14ac:dyDescent="0.2">
      <c r="A447" s="176"/>
      <c r="B447" s="177"/>
      <c r="C447" s="176"/>
      <c r="D447" s="176"/>
      <c r="E447" s="178" t="s">
        <v>3252</v>
      </c>
      <c r="F447" s="176"/>
    </row>
    <row r="448" spans="1:6" x14ac:dyDescent="0.2">
      <c r="A448" s="176"/>
      <c r="B448" s="177"/>
      <c r="C448" s="176" t="s">
        <v>2641</v>
      </c>
      <c r="D448" s="176" t="str">
        <f>"Type de division hospitalière assurée"</f>
        <v>Type de division hospitalière assurée</v>
      </c>
      <c r="E448" s="179" t="s">
        <v>3432</v>
      </c>
      <c r="F448" s="176" t="s">
        <v>2642</v>
      </c>
    </row>
    <row r="449" spans="1:6" x14ac:dyDescent="0.2">
      <c r="A449" s="176"/>
      <c r="B449" s="177"/>
      <c r="C449" s="176"/>
      <c r="D449" s="176"/>
      <c r="E449" s="179" t="s">
        <v>3433</v>
      </c>
      <c r="F449" s="176"/>
    </row>
    <row r="450" spans="1:6" x14ac:dyDescent="0.2">
      <c r="A450" s="176"/>
      <c r="B450" s="177"/>
      <c r="C450" s="176"/>
      <c r="D450" s="176"/>
      <c r="E450" s="179" t="s">
        <v>3434</v>
      </c>
      <c r="F450" s="176"/>
    </row>
    <row r="451" spans="1:6" x14ac:dyDescent="0.2">
      <c r="A451" s="176"/>
      <c r="B451" s="177"/>
      <c r="C451" s="176"/>
      <c r="D451" s="176"/>
      <c r="E451" s="178" t="s">
        <v>3252</v>
      </c>
      <c r="F451" s="176"/>
    </row>
    <row r="452" spans="1:6" x14ac:dyDescent="0.2">
      <c r="A452" s="176"/>
      <c r="B452" s="177"/>
      <c r="C452" s="176" t="s">
        <v>2643</v>
      </c>
      <c r="D452" s="176" t="str">
        <f>"Non-assurance (maladie) : raison 1"</f>
        <v>Non-assurance (maladie) : raison 1</v>
      </c>
      <c r="E452" s="179" t="s">
        <v>3435</v>
      </c>
      <c r="F452" s="176" t="s">
        <v>2644</v>
      </c>
    </row>
    <row r="453" spans="1:6" x14ac:dyDescent="0.2">
      <c r="A453" s="176"/>
      <c r="B453" s="177"/>
      <c r="C453" s="176" t="s">
        <v>2645</v>
      </c>
      <c r="D453" s="176" t="str">
        <f>"Non-assurance (maladie) : raison 2"</f>
        <v>Non-assurance (maladie) : raison 2</v>
      </c>
      <c r="E453" s="179" t="s">
        <v>3436</v>
      </c>
      <c r="F453" s="176"/>
    </row>
    <row r="454" spans="1:6" x14ac:dyDescent="0.2">
      <c r="A454" s="176"/>
      <c r="B454" s="177"/>
      <c r="C454" s="176" t="s">
        <v>2646</v>
      </c>
      <c r="D454" s="176" t="str">
        <f>"Non-assurance (maladie) : raison 3"</f>
        <v>Non-assurance (maladie) : raison 3</v>
      </c>
      <c r="E454" s="179" t="s">
        <v>3437</v>
      </c>
      <c r="F454" s="176"/>
    </row>
    <row r="455" spans="1:6" x14ac:dyDescent="0.2">
      <c r="A455" s="176"/>
      <c r="B455" s="177"/>
      <c r="C455" s="176" t="s">
        <v>2647</v>
      </c>
      <c r="D455" s="176" t="str">
        <f>"Non-assurance (maladie) : raison 4"</f>
        <v>Non-assurance (maladie) : raison 4</v>
      </c>
      <c r="E455" s="179" t="s">
        <v>3285</v>
      </c>
      <c r="F455" s="176"/>
    </row>
    <row r="456" spans="1:6" x14ac:dyDescent="0.2">
      <c r="A456" s="176"/>
      <c r="B456" s="177"/>
      <c r="C456" s="176"/>
      <c r="D456" s="176"/>
      <c r="E456" s="178" t="s">
        <v>3252</v>
      </c>
      <c r="F456" s="176"/>
    </row>
    <row r="457" spans="1:6" x14ac:dyDescent="0.2">
      <c r="A457" s="176"/>
      <c r="B457" s="177"/>
      <c r="C457" s="176" t="s">
        <v>2648</v>
      </c>
      <c r="D457" s="176" t="str">
        <f>"Aide reçue pour raisons de santé (5 ans) : personne de soutien 1"</f>
        <v>Aide reçue pour raisons de santé (5 ans) : personne de soutien 1</v>
      </c>
      <c r="E457" s="179" t="s">
        <v>3438</v>
      </c>
      <c r="F457" s="176" t="s">
        <v>2649</v>
      </c>
    </row>
    <row r="458" spans="1:6" x14ac:dyDescent="0.2">
      <c r="A458" s="176"/>
      <c r="B458" s="177"/>
      <c r="C458" s="176" t="s">
        <v>2650</v>
      </c>
      <c r="D458" s="176" t="str">
        <f>"Aide reçue pour raisons de santé (5 ans) : personne de soutien 2"</f>
        <v>Aide reçue pour raisons de santé (5 ans) : personne de soutien 2</v>
      </c>
      <c r="E458" s="179" t="s">
        <v>3439</v>
      </c>
      <c r="F458" s="176"/>
    </row>
    <row r="459" spans="1:6" x14ac:dyDescent="0.2">
      <c r="A459" s="176"/>
      <c r="B459" s="177"/>
      <c r="C459" s="176" t="s">
        <v>2651</v>
      </c>
      <c r="D459" s="176" t="str">
        <f>"Aide reçue pour raisons de santé (5 ans) : personne de soutien 3"</f>
        <v>Aide reçue pour raisons de santé (5 ans) : personne de soutien 3</v>
      </c>
      <c r="E459" s="179" t="s">
        <v>3440</v>
      </c>
      <c r="F459" s="176"/>
    </row>
    <row r="460" spans="1:6" x14ac:dyDescent="0.2">
      <c r="A460" s="176"/>
      <c r="B460" s="177"/>
      <c r="C460" s="176" t="s">
        <v>2652</v>
      </c>
      <c r="D460" s="176" t="str">
        <f>"Aide reçue pour raisons de santé (5 ans) : personne de soutien 4"</f>
        <v>Aide reçue pour raisons de santé (5 ans) : personne de soutien 4</v>
      </c>
      <c r="E460" s="179" t="s">
        <v>3441</v>
      </c>
      <c r="F460" s="176"/>
    </row>
    <row r="461" spans="1:6" x14ac:dyDescent="0.2">
      <c r="A461" s="176"/>
      <c r="B461" s="177"/>
      <c r="C461" s="176" t="s">
        <v>2653</v>
      </c>
      <c r="D461" s="176" t="str">
        <f>"Aide reçue pour raisons de santé (5 ans) : personne de soutien 5"</f>
        <v>Aide reçue pour raisons de santé (5 ans) : personne de soutien 5</v>
      </c>
      <c r="E461" s="179" t="s">
        <v>3442</v>
      </c>
      <c r="F461" s="176"/>
    </row>
    <row r="462" spans="1:6" x14ac:dyDescent="0.2">
      <c r="A462" s="176"/>
      <c r="B462" s="177"/>
      <c r="C462" s="176"/>
      <c r="D462" s="176"/>
      <c r="E462" s="179" t="s">
        <v>3443</v>
      </c>
      <c r="F462" s="176"/>
    </row>
    <row r="463" spans="1:6" x14ac:dyDescent="0.2">
      <c r="A463" s="176"/>
      <c r="B463" s="177"/>
      <c r="C463" s="176"/>
      <c r="D463" s="176"/>
      <c r="E463" s="179" t="s">
        <v>3444</v>
      </c>
      <c r="F463" s="176"/>
    </row>
    <row r="464" spans="1:6" x14ac:dyDescent="0.2">
      <c r="A464" s="176"/>
      <c r="B464" s="177"/>
      <c r="C464" s="176"/>
      <c r="D464" s="176"/>
      <c r="E464" s="179" t="s">
        <v>3445</v>
      </c>
      <c r="F464" s="176"/>
    </row>
    <row r="465" spans="1:6" x14ac:dyDescent="0.2">
      <c r="A465" s="176"/>
      <c r="B465" s="177"/>
      <c r="C465" s="176"/>
      <c r="D465" s="176"/>
      <c r="E465" s="178" t="s">
        <v>3252</v>
      </c>
      <c r="F465" s="176"/>
    </row>
    <row r="466" spans="1:6" x14ac:dyDescent="0.2">
      <c r="A466" s="176"/>
      <c r="B466" s="177"/>
      <c r="C466" s="176" t="s">
        <v>2654</v>
      </c>
      <c r="D466" s="176" t="str">
        <f>"Travail bénévole pour autres personnes : fréquence"</f>
        <v>Travail bénévole pour autres personnes : fréquence</v>
      </c>
      <c r="E466" s="179" t="s">
        <v>3446</v>
      </c>
      <c r="F466" s="176" t="s">
        <v>2655</v>
      </c>
    </row>
    <row r="467" spans="1:6" x14ac:dyDescent="0.2">
      <c r="A467" s="176"/>
      <c r="B467" s="177"/>
      <c r="C467" s="176"/>
      <c r="D467" s="176"/>
      <c r="E467" s="179" t="s">
        <v>3447</v>
      </c>
      <c r="F467" s="176"/>
    </row>
    <row r="468" spans="1:6" x14ac:dyDescent="0.2">
      <c r="A468" s="176"/>
      <c r="B468" s="177"/>
      <c r="C468" s="176"/>
      <c r="D468" s="176"/>
      <c r="E468" s="179" t="s">
        <v>3448</v>
      </c>
      <c r="F468" s="176"/>
    </row>
    <row r="469" spans="1:6" x14ac:dyDescent="0.2">
      <c r="A469" s="176"/>
      <c r="B469" s="177"/>
      <c r="C469" s="176"/>
      <c r="D469" s="176"/>
      <c r="E469" s="179" t="s">
        <v>3449</v>
      </c>
      <c r="F469" s="176"/>
    </row>
    <row r="470" spans="1:6" x14ac:dyDescent="0.2">
      <c r="A470" s="176"/>
      <c r="B470" s="177"/>
      <c r="C470" s="176"/>
      <c r="D470" s="176"/>
      <c r="E470" s="179" t="s">
        <v>3450</v>
      </c>
      <c r="F470" s="176"/>
    </row>
    <row r="471" spans="1:6" x14ac:dyDescent="0.2">
      <c r="A471" s="176"/>
      <c r="B471" s="177"/>
      <c r="C471" s="176"/>
      <c r="D471" s="176"/>
      <c r="E471" s="179" t="s">
        <v>3451</v>
      </c>
      <c r="F471" s="176"/>
    </row>
    <row r="472" spans="1:6" x14ac:dyDescent="0.2">
      <c r="A472" s="176"/>
      <c r="B472" s="177"/>
      <c r="C472" s="176"/>
      <c r="D472" s="176"/>
      <c r="E472" s="178" t="s">
        <v>3252</v>
      </c>
      <c r="F472" s="176"/>
    </row>
    <row r="473" spans="1:6" x14ac:dyDescent="0.2">
      <c r="A473" s="176"/>
      <c r="B473" s="177"/>
      <c r="C473" s="176" t="s">
        <v>2656</v>
      </c>
      <c r="D473" s="176" t="str">
        <f>"Participation association : fréquence"</f>
        <v>Participation association : fréquence</v>
      </c>
      <c r="E473" s="179" t="s">
        <v>3446</v>
      </c>
      <c r="F473" s="176" t="s">
        <v>2657</v>
      </c>
    </row>
    <row r="474" spans="1:6" x14ac:dyDescent="0.2">
      <c r="A474" s="176"/>
      <c r="B474" s="177"/>
      <c r="C474" s="176" t="s">
        <v>2658</v>
      </c>
      <c r="D474" s="176" t="str">
        <f>"Participation cérémonies religieuses : fréquence"</f>
        <v>Participation cérémonies religieuses : fréquence</v>
      </c>
      <c r="E474" s="179" t="s">
        <v>3447</v>
      </c>
      <c r="F474" s="176"/>
    </row>
    <row r="475" spans="1:6" x14ac:dyDescent="0.2">
      <c r="A475" s="176"/>
      <c r="B475" s="177"/>
      <c r="C475" s="176"/>
      <c r="D475" s="176"/>
      <c r="E475" s="179" t="s">
        <v>3448</v>
      </c>
      <c r="F475" s="176"/>
    </row>
    <row r="476" spans="1:6" x14ac:dyDescent="0.2">
      <c r="A476" s="176"/>
      <c r="B476" s="177"/>
      <c r="C476" s="176"/>
      <c r="D476" s="176"/>
      <c r="E476" s="179" t="s">
        <v>3449</v>
      </c>
      <c r="F476" s="176"/>
    </row>
    <row r="477" spans="1:6" x14ac:dyDescent="0.2">
      <c r="A477" s="176"/>
      <c r="B477" s="177"/>
      <c r="C477" s="176"/>
      <c r="D477" s="176"/>
      <c r="E477" s="179" t="s">
        <v>3452</v>
      </c>
      <c r="F477" s="176"/>
    </row>
    <row r="478" spans="1:6" x14ac:dyDescent="0.2">
      <c r="A478" s="176"/>
      <c r="B478" s="177"/>
      <c r="C478" s="176"/>
      <c r="D478" s="176"/>
      <c r="E478" s="179" t="s">
        <v>3453</v>
      </c>
      <c r="F478" s="176"/>
    </row>
    <row r="479" spans="1:6" x14ac:dyDescent="0.2">
      <c r="A479" s="176"/>
      <c r="B479" s="177"/>
      <c r="C479" s="176"/>
      <c r="D479" s="176"/>
      <c r="E479" s="178" t="s">
        <v>3252</v>
      </c>
      <c r="F479" s="176"/>
    </row>
    <row r="480" spans="1:6" x14ac:dyDescent="0.2">
      <c r="A480" s="176"/>
      <c r="B480" s="177"/>
      <c r="C480" s="176" t="s">
        <v>2659</v>
      </c>
      <c r="D480" s="176" t="str">
        <f>"Un tiers à qui parler de problèmes personnels"</f>
        <v>Un tiers à qui parler de problèmes personnels</v>
      </c>
      <c r="E480" s="179" t="s">
        <v>3454</v>
      </c>
      <c r="F480" s="176" t="s">
        <v>2660</v>
      </c>
    </row>
    <row r="481" spans="1:6" x14ac:dyDescent="0.2">
      <c r="A481" s="176"/>
      <c r="B481" s="177"/>
      <c r="C481" s="176"/>
      <c r="D481" s="176"/>
      <c r="E481" s="179" t="s">
        <v>3455</v>
      </c>
      <c r="F481" s="176"/>
    </row>
    <row r="482" spans="1:6" x14ac:dyDescent="0.2">
      <c r="A482" s="176"/>
      <c r="B482" s="177"/>
      <c r="C482" s="176"/>
      <c r="D482" s="176"/>
      <c r="E482" s="179" t="s">
        <v>3456</v>
      </c>
      <c r="F482" s="176"/>
    </row>
    <row r="483" spans="1:6" x14ac:dyDescent="0.2">
      <c r="A483" s="176"/>
      <c r="B483" s="177"/>
      <c r="C483" s="176"/>
      <c r="D483" s="176"/>
      <c r="E483" s="178" t="s">
        <v>3252</v>
      </c>
      <c r="F483" s="176"/>
    </row>
    <row r="484" spans="1:6" x14ac:dyDescent="0.2">
      <c r="A484" s="176"/>
      <c r="B484" s="177"/>
      <c r="C484" s="176" t="s">
        <v>2661</v>
      </c>
      <c r="D484" s="176" t="str">
        <f>"Déprimé, de mauvaise humeur (7 jours) : fréquence"</f>
        <v>Déprimé, de mauvaise humeur (7 jours) : fréquence</v>
      </c>
      <c r="E484" s="179" t="s">
        <v>3446</v>
      </c>
      <c r="F484" s="176" t="s">
        <v>2662</v>
      </c>
    </row>
    <row r="485" spans="1:6" x14ac:dyDescent="0.2">
      <c r="A485" s="176"/>
      <c r="B485" s="177"/>
      <c r="C485" s="176" t="s">
        <v>2663</v>
      </c>
      <c r="D485" s="176" t="str">
        <f>"Calme, équilibré, serein (7 jours) : fréquence"</f>
        <v>Calme, équilibré, serein (7 jours) : fréquence</v>
      </c>
      <c r="E485" s="179" t="s">
        <v>3457</v>
      </c>
      <c r="F485" s="176"/>
    </row>
    <row r="486" spans="1:6" x14ac:dyDescent="0.2">
      <c r="A486" s="176"/>
      <c r="B486" s="177"/>
      <c r="C486" s="176" t="s">
        <v>2664</v>
      </c>
      <c r="D486" s="176" t="str">
        <f>"Tendu, irritable, nerveux (7 jours) : fréquence"</f>
        <v>Tendu, irritable, nerveux (7 jours) : fréquence</v>
      </c>
      <c r="E486" s="179" t="s">
        <v>3458</v>
      </c>
      <c r="F486" s="176"/>
    </row>
    <row r="487" spans="1:6" x14ac:dyDescent="0.2">
      <c r="A487" s="176"/>
      <c r="B487" s="177"/>
      <c r="C487" s="176" t="s">
        <v>2665</v>
      </c>
      <c r="D487" s="176" t="str">
        <f>"Plein de force, d'énergie, optimisme (7 jours) : fréquence"</f>
        <v>Plein de force, d'énergie, optimisme (7 jours) : fréquence</v>
      </c>
      <c r="E487" s="179" t="s">
        <v>3330</v>
      </c>
      <c r="F487" s="176"/>
    </row>
    <row r="488" spans="1:6" x14ac:dyDescent="0.2">
      <c r="A488" s="176"/>
      <c r="B488" s="177"/>
      <c r="C488" s="176"/>
      <c r="D488" s="176"/>
      <c r="E488" s="178" t="s">
        <v>3252</v>
      </c>
      <c r="F488" s="176"/>
    </row>
    <row r="489" spans="1:6" x14ac:dyDescent="0.2">
      <c r="A489" s="176"/>
      <c r="B489" s="177"/>
      <c r="C489" s="176" t="s">
        <v>2666</v>
      </c>
      <c r="D489" s="176" t="str">
        <f>"Tension artérielle : état"</f>
        <v>Tension artérielle : état</v>
      </c>
      <c r="E489" s="179" t="s">
        <v>3460</v>
      </c>
      <c r="F489" s="176" t="s">
        <v>2667</v>
      </c>
    </row>
    <row r="490" spans="1:6" x14ac:dyDescent="0.2">
      <c r="A490" s="176"/>
      <c r="B490" s="177"/>
      <c r="C490" s="176"/>
      <c r="D490" s="176"/>
      <c r="E490" s="179" t="s">
        <v>3461</v>
      </c>
      <c r="F490" s="176"/>
    </row>
    <row r="491" spans="1:6" x14ac:dyDescent="0.2">
      <c r="A491" s="176"/>
      <c r="B491" s="177"/>
      <c r="C491" s="176"/>
      <c r="D491" s="176"/>
      <c r="E491" s="179" t="s">
        <v>3462</v>
      </c>
      <c r="F491" s="176"/>
    </row>
    <row r="492" spans="1:6" x14ac:dyDescent="0.2">
      <c r="A492" s="176"/>
      <c r="B492" s="177"/>
      <c r="C492" s="176"/>
      <c r="D492" s="176"/>
      <c r="E492" s="178" t="s">
        <v>3252</v>
      </c>
      <c r="F492" s="176"/>
    </row>
    <row r="493" spans="1:6" x14ac:dyDescent="0.2">
      <c r="A493" s="176"/>
      <c r="B493" s="177"/>
      <c r="C493" s="176" t="s">
        <v>2668</v>
      </c>
      <c r="D493" s="176" t="str">
        <f>"Dernier contrôle tension artérielle : date indiquée"</f>
        <v>Dernier contrôle tension artérielle : date indiquée</v>
      </c>
      <c r="E493" s="179" t="s">
        <v>3463</v>
      </c>
      <c r="F493" s="176" t="s">
        <v>2669</v>
      </c>
    </row>
    <row r="494" spans="1:6" x14ac:dyDescent="0.2">
      <c r="A494" s="176"/>
      <c r="B494" s="177"/>
      <c r="C494" s="176" t="s">
        <v>2670</v>
      </c>
      <c r="D494" s="176" t="str">
        <f>"Dernier contrôle cholestérol : date indiquée"</f>
        <v>Dernier contrôle cholestérol : date indiquée</v>
      </c>
      <c r="E494" s="179" t="s">
        <v>3464</v>
      </c>
      <c r="F494" s="176"/>
    </row>
    <row r="495" spans="1:6" x14ac:dyDescent="0.2">
      <c r="A495" s="176"/>
      <c r="B495" s="177"/>
      <c r="C495" s="176"/>
      <c r="D495" s="176"/>
      <c r="E495" s="178" t="s">
        <v>3252</v>
      </c>
      <c r="F495" s="176"/>
    </row>
    <row r="496" spans="1:6" x14ac:dyDescent="0.2">
      <c r="A496" s="176"/>
      <c r="B496" s="177"/>
      <c r="C496" s="176" t="s">
        <v>2671</v>
      </c>
      <c r="D496" s="176" t="str">
        <f>"Dernier contrôle tension artérielle : valeur indiquée"</f>
        <v>Dernier contrôle tension artérielle : valeur indiquée</v>
      </c>
      <c r="E496" s="179" t="s">
        <v>3465</v>
      </c>
      <c r="F496" s="176" t="s">
        <v>2672</v>
      </c>
    </row>
    <row r="497" spans="1:6" x14ac:dyDescent="0.2">
      <c r="A497" s="176"/>
      <c r="B497" s="177"/>
      <c r="C497" s="176"/>
      <c r="D497" s="176"/>
      <c r="E497" s="179" t="s">
        <v>3466</v>
      </c>
      <c r="F497" s="176"/>
    </row>
    <row r="498" spans="1:6" x14ac:dyDescent="0.2">
      <c r="A498" s="176"/>
      <c r="B498" s="177"/>
      <c r="C498" s="176"/>
      <c r="D498" s="176"/>
      <c r="E498" s="178" t="s">
        <v>3252</v>
      </c>
      <c r="F498" s="176"/>
    </row>
    <row r="499" spans="1:6" x14ac:dyDescent="0.2">
      <c r="A499" s="176"/>
      <c r="B499" s="177"/>
      <c r="C499" s="176" t="s">
        <v>2673</v>
      </c>
      <c r="D499" s="176" t="str">
        <f>"Dernier contrôle cholestérol : état taux de cholestérol"</f>
        <v>Dernier contrôle cholestérol : état taux de cholestérol</v>
      </c>
      <c r="E499" s="179" t="s">
        <v>3459</v>
      </c>
      <c r="F499" s="176" t="s">
        <v>2674</v>
      </c>
    </row>
    <row r="500" spans="1:6" x14ac:dyDescent="0.2">
      <c r="A500" s="176"/>
      <c r="B500" s="177"/>
      <c r="C500" s="176"/>
      <c r="D500" s="176"/>
      <c r="E500" s="179" t="s">
        <v>3467</v>
      </c>
      <c r="F500" s="176"/>
    </row>
    <row r="501" spans="1:6" x14ac:dyDescent="0.2">
      <c r="A501" s="176"/>
      <c r="B501" s="177"/>
      <c r="C501" s="176"/>
      <c r="D501" s="176"/>
      <c r="E501" s="178" t="s">
        <v>3252</v>
      </c>
      <c r="F501" s="176"/>
    </row>
    <row r="502" spans="1:6" x14ac:dyDescent="0.2">
      <c r="A502" s="176"/>
      <c r="B502" s="177"/>
      <c r="C502" s="176" t="s">
        <v>2675</v>
      </c>
      <c r="D502" s="176" t="str">
        <f>"Port de lunettes ou lentilles : raison 1"</f>
        <v>Port de lunettes ou lentilles : raison 1</v>
      </c>
      <c r="E502" s="179" t="s">
        <v>3468</v>
      </c>
      <c r="F502" s="176" t="s">
        <v>2676</v>
      </c>
    </row>
    <row r="503" spans="1:6" x14ac:dyDescent="0.2">
      <c r="A503" s="176"/>
      <c r="B503" s="177"/>
      <c r="C503" s="176" t="s">
        <v>2677</v>
      </c>
      <c r="D503" s="176" t="str">
        <f>"Port de lunettes ou lentilles : raison 2"</f>
        <v>Port de lunettes ou lentilles : raison 2</v>
      </c>
      <c r="E503" s="179" t="s">
        <v>3469</v>
      </c>
      <c r="F503" s="176"/>
    </row>
    <row r="504" spans="1:6" x14ac:dyDescent="0.2">
      <c r="A504" s="176"/>
      <c r="B504" s="177"/>
      <c r="C504" s="176" t="s">
        <v>2678</v>
      </c>
      <c r="D504" s="176" t="str">
        <f>"Port de lunettes ou lentilles : raison 3"</f>
        <v>Port de lunettes ou lentilles : raison 3</v>
      </c>
      <c r="E504" s="179" t="s">
        <v>3470</v>
      </c>
      <c r="F504" s="176"/>
    </row>
    <row r="505" spans="1:6" x14ac:dyDescent="0.2">
      <c r="A505" s="176"/>
      <c r="B505" s="177"/>
      <c r="C505" s="176"/>
      <c r="D505" s="176"/>
      <c r="E505" s="178" t="s">
        <v>3252</v>
      </c>
      <c r="F505" s="176"/>
    </row>
    <row r="506" spans="1:6" x14ac:dyDescent="0.2">
      <c r="A506" s="176"/>
      <c r="B506" s="177"/>
      <c r="C506" s="176" t="s">
        <v>2679</v>
      </c>
      <c r="D506" s="176" t="str">
        <f>"Vue suffisante pour lire"</f>
        <v>Vue suffisante pour lire</v>
      </c>
      <c r="E506" s="179" t="s">
        <v>3471</v>
      </c>
      <c r="F506" s="176" t="s">
        <v>2680</v>
      </c>
    </row>
    <row r="507" spans="1:6" x14ac:dyDescent="0.2">
      <c r="A507" s="176"/>
      <c r="B507" s="177"/>
      <c r="C507" s="176" t="s">
        <v>2681</v>
      </c>
      <c r="D507" s="176" t="str">
        <f>"Ouïe suffisante pour suivre une conversation"</f>
        <v>Ouïe suffisante pour suivre une conversation</v>
      </c>
      <c r="E507" s="179" t="s">
        <v>3472</v>
      </c>
      <c r="F507" s="176"/>
    </row>
    <row r="508" spans="1:6" x14ac:dyDescent="0.2">
      <c r="A508" s="176"/>
      <c r="B508" s="177"/>
      <c r="C508" s="176" t="s">
        <v>2682</v>
      </c>
      <c r="D508" s="176" t="str">
        <f>"Capacité de s'habiller sans aide"</f>
        <v>Capacité de s'habiller sans aide</v>
      </c>
      <c r="E508" s="179" t="s">
        <v>3473</v>
      </c>
      <c r="F508" s="176"/>
    </row>
    <row r="509" spans="1:6" x14ac:dyDescent="0.2">
      <c r="A509" s="176"/>
      <c r="B509" s="177"/>
      <c r="C509" s="176" t="s">
        <v>2683</v>
      </c>
      <c r="D509" s="176" t="str">
        <f>"Capacité de manger sans aide"</f>
        <v>Capacité de manger sans aide</v>
      </c>
      <c r="E509" s="179" t="s">
        <v>3474</v>
      </c>
      <c r="F509" s="176"/>
    </row>
    <row r="510" spans="1:6" x14ac:dyDescent="0.2">
      <c r="A510" s="176"/>
      <c r="B510" s="177"/>
      <c r="C510" s="176" t="s">
        <v>2684</v>
      </c>
      <c r="D510" s="176" t="str">
        <f>"Capacité de se coucher et de sortir du lit sans aide"</f>
        <v>Capacité de se coucher et de sortir du lit sans aide</v>
      </c>
      <c r="E510" s="178" t="s">
        <v>3252</v>
      </c>
      <c r="F510" s="176"/>
    </row>
    <row r="511" spans="1:6" x14ac:dyDescent="0.2">
      <c r="A511" s="176"/>
      <c r="B511" s="177"/>
      <c r="C511" s="176" t="s">
        <v>2685</v>
      </c>
      <c r="D511" s="176" t="str">
        <f>"Non possession moyen auxiliaire pour la vue : raison 1"</f>
        <v>Non possession moyen auxiliaire pour la vue : raison 1</v>
      </c>
      <c r="E511" s="179" t="s">
        <v>3475</v>
      </c>
      <c r="F511" s="176" t="s">
        <v>2686</v>
      </c>
    </row>
    <row r="512" spans="1:6" x14ac:dyDescent="0.2">
      <c r="A512" s="176"/>
      <c r="B512" s="177"/>
      <c r="C512" s="176" t="s">
        <v>2687</v>
      </c>
      <c r="D512" s="176" t="str">
        <f>"Non possession moyen auxiliaire pour la vue : raison 2"</f>
        <v>Non possession moyen auxiliaire pour la vue : raison 2</v>
      </c>
      <c r="E512" s="179" t="s">
        <v>3476</v>
      </c>
      <c r="F512" s="176"/>
    </row>
    <row r="513" spans="1:6" x14ac:dyDescent="0.2">
      <c r="A513" s="176"/>
      <c r="B513" s="177"/>
      <c r="C513" s="176" t="s">
        <v>2688</v>
      </c>
      <c r="D513" s="176" t="str">
        <f>"Non possession moyen auxiliaire pour l'ouïe : raison 1"</f>
        <v>Non possession moyen auxiliaire pour l'ouïe : raison 1</v>
      </c>
      <c r="E513" s="179" t="s">
        <v>3477</v>
      </c>
      <c r="F513" s="176"/>
    </row>
    <row r="514" spans="1:6" x14ac:dyDescent="0.2">
      <c r="A514" s="176"/>
      <c r="B514" s="177"/>
      <c r="C514" s="176" t="s">
        <v>2689</v>
      </c>
      <c r="D514" s="176" t="str">
        <f>"Non possession moyen auxiliaire pour l'ouïe : raison 2"</f>
        <v>Non possession moyen auxiliaire pour l'ouïe : raison 2</v>
      </c>
      <c r="E514" s="179" t="s">
        <v>3478</v>
      </c>
      <c r="F514" s="176"/>
    </row>
    <row r="515" spans="1:6" x14ac:dyDescent="0.2">
      <c r="A515" s="176"/>
      <c r="B515" s="177"/>
      <c r="C515" s="176" t="s">
        <v>2690</v>
      </c>
      <c r="D515" s="176" t="str">
        <f>"Non possession moyen auxiliaire pour l'ouïe : raison 3"</f>
        <v>Non possession moyen auxiliaire pour l'ouïe : raison 3</v>
      </c>
      <c r="E515" s="179" t="s">
        <v>3479</v>
      </c>
      <c r="F515" s="176"/>
    </row>
    <row r="516" spans="1:6" x14ac:dyDescent="0.2">
      <c r="A516" s="176"/>
      <c r="B516" s="177"/>
      <c r="C516" s="176"/>
      <c r="D516" s="176"/>
      <c r="E516" s="179" t="s">
        <v>3480</v>
      </c>
      <c r="F516" s="176"/>
    </row>
    <row r="517" spans="1:6" x14ac:dyDescent="0.2">
      <c r="A517" s="176"/>
      <c r="B517" s="177"/>
      <c r="C517" s="176"/>
      <c r="D517" s="176"/>
      <c r="E517" s="179" t="s">
        <v>3481</v>
      </c>
      <c r="F517" s="176"/>
    </row>
    <row r="518" spans="1:6" x14ac:dyDescent="0.2">
      <c r="A518" s="176"/>
      <c r="B518" s="177"/>
      <c r="C518" s="176"/>
      <c r="D518" s="176"/>
      <c r="E518" s="179" t="s">
        <v>3482</v>
      </c>
      <c r="F518" s="176"/>
    </row>
    <row r="519" spans="1:6" x14ac:dyDescent="0.2">
      <c r="A519" s="176"/>
      <c r="B519" s="177"/>
      <c r="C519" s="176"/>
      <c r="D519" s="176"/>
      <c r="E519" s="179" t="s">
        <v>3483</v>
      </c>
      <c r="F519" s="176"/>
    </row>
    <row r="520" spans="1:6" x14ac:dyDescent="0.2">
      <c r="A520" s="176"/>
      <c r="B520" s="177"/>
      <c r="C520" s="176"/>
      <c r="D520" s="176"/>
      <c r="E520" s="178" t="s">
        <v>3252</v>
      </c>
      <c r="F520" s="176"/>
    </row>
    <row r="521" spans="1:6" x14ac:dyDescent="0.2">
      <c r="A521" s="176"/>
      <c r="B521" s="177"/>
      <c r="C521" s="176" t="s">
        <v>2691</v>
      </c>
      <c r="D521" s="176" t="str">
        <f>"S'habiller, se déshabiller, sortir du lit et manger sans aide"</f>
        <v>S'habiller, se déshabiller, sortir du lit et manger sans aide</v>
      </c>
      <c r="E521" s="179" t="s">
        <v>3484</v>
      </c>
      <c r="F521" s="181" t="s">
        <v>2692</v>
      </c>
    </row>
    <row r="522" spans="1:6" x14ac:dyDescent="0.2">
      <c r="A522" s="176"/>
      <c r="B522" s="177"/>
      <c r="C522" s="176"/>
      <c r="D522" s="176"/>
      <c r="E522" s="179" t="s">
        <v>3485</v>
      </c>
      <c r="F522" s="176"/>
    </row>
    <row r="523" spans="1:6" x14ac:dyDescent="0.2">
      <c r="A523" s="176"/>
      <c r="B523" s="177"/>
      <c r="C523" s="176"/>
      <c r="D523" s="176"/>
      <c r="E523" s="178" t="s">
        <v>3252</v>
      </c>
      <c r="F523" s="176"/>
    </row>
    <row r="524" spans="1:6" x14ac:dyDescent="0.2">
      <c r="A524" s="176"/>
      <c r="B524" s="177"/>
      <c r="C524" s="176" t="s">
        <v>2693</v>
      </c>
      <c r="D524" s="176" t="str">
        <f>"Distance parcourue seul sans aide"</f>
        <v>Distance parcourue seul sans aide</v>
      </c>
      <c r="E524" s="179" t="s">
        <v>3486</v>
      </c>
      <c r="F524" s="181" t="s">
        <v>2694</v>
      </c>
    </row>
    <row r="525" spans="1:6" x14ac:dyDescent="0.2">
      <c r="A525" s="176"/>
      <c r="B525" s="177"/>
      <c r="C525" s="176"/>
      <c r="D525" s="176"/>
      <c r="E525" s="179" t="s">
        <v>3487</v>
      </c>
      <c r="F525" s="176"/>
    </row>
    <row r="526" spans="1:6" x14ac:dyDescent="0.2">
      <c r="A526" s="176"/>
      <c r="B526" s="177"/>
      <c r="C526" s="176"/>
      <c r="D526" s="176"/>
      <c r="E526" s="179" t="s">
        <v>3488</v>
      </c>
      <c r="F526" s="176"/>
    </row>
    <row r="527" spans="1:6" x14ac:dyDescent="0.2">
      <c r="A527" s="176"/>
      <c r="B527" s="177"/>
      <c r="C527" s="176"/>
      <c r="D527" s="176"/>
      <c r="E527" s="179" t="s">
        <v>3489</v>
      </c>
      <c r="F527" s="176"/>
    </row>
    <row r="528" spans="1:6" x14ac:dyDescent="0.2">
      <c r="A528" s="176"/>
      <c r="B528" s="177"/>
      <c r="C528" s="176"/>
      <c r="D528" s="176"/>
      <c r="E528" s="178" t="s">
        <v>3252</v>
      </c>
      <c r="F528" s="176"/>
    </row>
    <row r="529" spans="1:6" x14ac:dyDescent="0.2">
      <c r="A529" s="176"/>
      <c r="B529" s="177"/>
      <c r="C529" s="176" t="s">
        <v>2695</v>
      </c>
      <c r="D529" s="176" t="str">
        <f>"Handicap : cause principale"</f>
        <v>Handicap : cause principale</v>
      </c>
      <c r="E529" s="179" t="s">
        <v>3490</v>
      </c>
      <c r="F529" s="181" t="s">
        <v>2696</v>
      </c>
    </row>
    <row r="530" spans="1:6" x14ac:dyDescent="0.2">
      <c r="A530" s="176"/>
      <c r="B530" s="177"/>
      <c r="C530" s="176"/>
      <c r="D530" s="176"/>
      <c r="E530" s="179" t="s">
        <v>3491</v>
      </c>
      <c r="F530" s="176"/>
    </row>
    <row r="531" spans="1:6" x14ac:dyDescent="0.2">
      <c r="A531" s="176"/>
      <c r="B531" s="177"/>
      <c r="C531" s="176"/>
      <c r="D531" s="176"/>
      <c r="E531" s="179" t="s">
        <v>3492</v>
      </c>
      <c r="F531" s="176"/>
    </row>
    <row r="532" spans="1:6" x14ac:dyDescent="0.2">
      <c r="A532" s="176"/>
      <c r="B532" s="177"/>
      <c r="C532" s="176"/>
      <c r="D532" s="176"/>
      <c r="E532" s="179" t="s">
        <v>3493</v>
      </c>
      <c r="F532" s="176"/>
    </row>
    <row r="533" spans="1:6" x14ac:dyDescent="0.2">
      <c r="A533" s="176"/>
      <c r="B533" s="177"/>
      <c r="C533" s="176"/>
      <c r="D533" s="176"/>
      <c r="E533" s="178" t="s">
        <v>3252</v>
      </c>
      <c r="F533" s="176"/>
    </row>
    <row r="534" spans="1:6" x14ac:dyDescent="0.2">
      <c r="A534" s="176"/>
      <c r="B534" s="177"/>
      <c r="C534" s="176" t="s">
        <v>2697</v>
      </c>
      <c r="D534" s="176" t="str">
        <f>"Personnes handicapées : aide à domicile : de qui 1"</f>
        <v>Personnes handicapées : aide à domicile : de qui 1</v>
      </c>
      <c r="E534" s="179" t="s">
        <v>3494</v>
      </c>
      <c r="F534" s="176" t="s">
        <v>2698</v>
      </c>
    </row>
    <row r="535" spans="1:6" x14ac:dyDescent="0.2">
      <c r="A535" s="176"/>
      <c r="B535" s="177"/>
      <c r="C535" s="176" t="s">
        <v>2699</v>
      </c>
      <c r="D535" s="176" t="str">
        <f>"Personnes handicapées : aide à domicile : de qui 2"</f>
        <v>Personnes handicapées : aide à domicile : de qui 2</v>
      </c>
      <c r="E535" s="179" t="s">
        <v>3495</v>
      </c>
      <c r="F535" s="176"/>
    </row>
    <row r="536" spans="1:6" x14ac:dyDescent="0.2">
      <c r="A536" s="176"/>
      <c r="B536" s="177"/>
      <c r="C536" s="176"/>
      <c r="D536" s="176"/>
      <c r="E536" s="179" t="s">
        <v>3496</v>
      </c>
      <c r="F536" s="176"/>
    </row>
    <row r="537" spans="1:6" x14ac:dyDescent="0.2">
      <c r="A537" s="176"/>
      <c r="B537" s="177"/>
      <c r="C537" s="176"/>
      <c r="D537" s="176"/>
      <c r="E537" s="178" t="s">
        <v>3252</v>
      </c>
      <c r="F537" s="176"/>
    </row>
    <row r="538" spans="1:6" x14ac:dyDescent="0.2">
      <c r="A538" s="176"/>
      <c r="B538" s="177"/>
      <c r="C538" s="176" t="s">
        <v>2700</v>
      </c>
      <c r="D538" s="176" t="str">
        <f>"Personnes handicapées : aide financière : type de rente 1"</f>
        <v>Personnes handicapées : aide financière : type de rente 1</v>
      </c>
      <c r="E538" s="179" t="s">
        <v>3497</v>
      </c>
      <c r="F538" s="176" t="s">
        <v>2701</v>
      </c>
    </row>
    <row r="539" spans="1:6" x14ac:dyDescent="0.2">
      <c r="A539" s="176"/>
      <c r="B539" s="177"/>
      <c r="C539" s="176" t="s">
        <v>2702</v>
      </c>
      <c r="D539" s="176" t="str">
        <f>"Personnes handicapées : aide financière : type de rente 2"</f>
        <v>Personnes handicapées : aide financière : type de rente 2</v>
      </c>
      <c r="E539" s="179" t="s">
        <v>3498</v>
      </c>
      <c r="F539" s="176"/>
    </row>
    <row r="540" spans="1:6" x14ac:dyDescent="0.2">
      <c r="A540" s="176"/>
      <c r="B540" s="177"/>
      <c r="C540" s="176" t="s">
        <v>2703</v>
      </c>
      <c r="D540" s="176" t="str">
        <f>"Personnes handicapées : aide financière : type de rente 3"</f>
        <v>Personnes handicapées : aide financière : type de rente 3</v>
      </c>
      <c r="E540" s="179" t="s">
        <v>3499</v>
      </c>
      <c r="F540" s="176"/>
    </row>
    <row r="541" spans="1:6" x14ac:dyDescent="0.2">
      <c r="A541" s="176"/>
      <c r="B541" s="177"/>
      <c r="C541" s="176"/>
      <c r="D541" s="176"/>
      <c r="E541" s="179" t="s">
        <v>3500</v>
      </c>
      <c r="F541" s="176"/>
    </row>
    <row r="542" spans="1:6" x14ac:dyDescent="0.2">
      <c r="A542" s="176"/>
      <c r="B542" s="177"/>
      <c r="C542" s="176"/>
      <c r="D542" s="176"/>
      <c r="E542" s="178" t="s">
        <v>3252</v>
      </c>
      <c r="F542" s="176"/>
    </row>
    <row r="543" spans="1:6" x14ac:dyDescent="0.2">
      <c r="A543" s="176"/>
      <c r="B543" s="177"/>
      <c r="C543" s="176" t="s">
        <v>2704</v>
      </c>
      <c r="D543" s="176" t="str">
        <f>"(H 40+ ans) Dernier examen prostate : date indiquée"</f>
        <v>(H 40+ ans) Dernier examen prostate : date indiquée</v>
      </c>
      <c r="E543" s="179" t="s">
        <v>3501</v>
      </c>
      <c r="F543" s="176" t="s">
        <v>2705</v>
      </c>
    </row>
    <row r="544" spans="1:6" x14ac:dyDescent="0.2">
      <c r="A544" s="176"/>
      <c r="B544" s="177"/>
      <c r="C544" s="176" t="s">
        <v>2706</v>
      </c>
      <c r="D544" s="176" t="str">
        <f>"(F 20+ ans) Dernier dépistage cancer col utérus : date indiquée"</f>
        <v>(F 20+ ans) Dernier dépistage cancer col utérus : date indiquée</v>
      </c>
      <c r="E544" s="178" t="s">
        <v>3252</v>
      </c>
      <c r="F544" s="176"/>
    </row>
    <row r="545" spans="1:6" x14ac:dyDescent="0.2">
      <c r="A545" s="176"/>
      <c r="B545" s="177"/>
      <c r="C545" s="176" t="s">
        <v>2707</v>
      </c>
      <c r="D545" s="176" t="str">
        <f>"(F 20+ ans) Dernière mammographie : date indiquée"</f>
        <v>(F 20+ ans) Dernière mammographie : date indiquée</v>
      </c>
      <c r="E545" s="178"/>
      <c r="F545" s="176"/>
    </row>
    <row r="546" spans="1:6" x14ac:dyDescent="0.2">
      <c r="A546" s="176"/>
      <c r="B546" s="177"/>
      <c r="C546" s="176" t="s">
        <v>2708</v>
      </c>
      <c r="D546" s="176" t="str">
        <f>"(F 20+ ans) Dernier autre contrôle préventif des seins : date indiquée"</f>
        <v>(F 20+ ans) Dernier autre contrôle préventif des seins : date indiquée</v>
      </c>
      <c r="E546" s="178"/>
      <c r="F546" s="176"/>
    </row>
    <row r="547" spans="1:6" x14ac:dyDescent="0.2">
      <c r="A547" s="176"/>
      <c r="B547" s="177"/>
      <c r="C547" s="176" t="s">
        <v>2709</v>
      </c>
      <c r="D547" s="176" t="str">
        <f>"(F 20+ ans) Démonstration autopalpation des seins"</f>
        <v>(F 20+ ans) Démonstration autopalpation des seins</v>
      </c>
      <c r="E547" s="179" t="s">
        <v>3502</v>
      </c>
      <c r="F547" s="176" t="s">
        <v>2710</v>
      </c>
    </row>
    <row r="548" spans="1:6" x14ac:dyDescent="0.2">
      <c r="A548" s="176"/>
      <c r="B548" s="177"/>
      <c r="C548" s="176"/>
      <c r="D548" s="176"/>
      <c r="E548" s="179" t="s">
        <v>3503</v>
      </c>
      <c r="F548" s="176"/>
    </row>
    <row r="549" spans="1:6" x14ac:dyDescent="0.2">
      <c r="A549" s="176"/>
      <c r="B549" s="177"/>
      <c r="C549" s="176"/>
      <c r="D549" s="176"/>
      <c r="E549" s="179" t="s">
        <v>3456</v>
      </c>
      <c r="F549" s="176"/>
    </row>
    <row r="550" spans="1:6" x14ac:dyDescent="0.2">
      <c r="A550" s="176"/>
      <c r="B550" s="177"/>
      <c r="C550" s="176"/>
      <c r="D550" s="176"/>
      <c r="E550" s="178" t="s">
        <v>3252</v>
      </c>
      <c r="F550" s="176"/>
    </row>
    <row r="551" spans="1:6" x14ac:dyDescent="0.2">
      <c r="A551" s="176"/>
      <c r="B551" s="177"/>
      <c r="C551" s="176" t="s">
        <v>2711</v>
      </c>
      <c r="D551" s="176" t="str">
        <f>"(F 20+ ans) Autopalpation des seins : fréquence"</f>
        <v>(F 20+ ans) Autopalpation des seins : fréquence</v>
      </c>
      <c r="E551" s="179" t="s">
        <v>3504</v>
      </c>
      <c r="F551" s="176" t="s">
        <v>2712</v>
      </c>
    </row>
    <row r="552" spans="1:6" x14ac:dyDescent="0.2">
      <c r="A552" s="176"/>
      <c r="B552" s="177"/>
      <c r="C552" s="176"/>
      <c r="D552" s="176"/>
      <c r="E552" s="179" t="s">
        <v>3505</v>
      </c>
      <c r="F552" s="176"/>
    </row>
    <row r="553" spans="1:6" x14ac:dyDescent="0.2">
      <c r="A553" s="176"/>
      <c r="B553" s="177"/>
      <c r="C553" s="176"/>
      <c r="D553" s="176"/>
      <c r="E553" s="179" t="s">
        <v>3506</v>
      </c>
      <c r="F553" s="176"/>
    </row>
    <row r="554" spans="1:6" x14ac:dyDescent="0.2">
      <c r="A554" s="176"/>
      <c r="B554" s="177"/>
      <c r="C554" s="176"/>
      <c r="D554" s="176"/>
      <c r="E554" s="179" t="s">
        <v>3330</v>
      </c>
      <c r="F554" s="176"/>
    </row>
    <row r="555" spans="1:6" x14ac:dyDescent="0.2">
      <c r="A555" s="176"/>
      <c r="B555" s="177"/>
      <c r="C555" s="176"/>
      <c r="D555" s="176"/>
      <c r="E555" s="178" t="s">
        <v>3252</v>
      </c>
      <c r="F555" s="176"/>
    </row>
    <row r="556" spans="1:6" x14ac:dyDescent="0.2">
      <c r="A556" s="176"/>
      <c r="B556" s="177"/>
      <c r="C556" s="176" t="s">
        <v>2713</v>
      </c>
      <c r="D556" s="176" t="str">
        <f>"Etat civil"</f>
        <v>Etat civil</v>
      </c>
      <c r="E556" s="179" t="s">
        <v>3507</v>
      </c>
      <c r="F556" s="176" t="s">
        <v>2714</v>
      </c>
    </row>
    <row r="557" spans="1:6" x14ac:dyDescent="0.2">
      <c r="A557" s="176"/>
      <c r="B557" s="177"/>
      <c r="C557" s="176"/>
      <c r="D557" s="176"/>
      <c r="E557" s="179" t="s">
        <v>3508</v>
      </c>
      <c r="F557" s="176"/>
    </row>
    <row r="558" spans="1:6" x14ac:dyDescent="0.2">
      <c r="A558" s="176"/>
      <c r="B558" s="177"/>
      <c r="C558" s="176"/>
      <c r="D558" s="176"/>
      <c r="E558" s="179" t="s">
        <v>3509</v>
      </c>
      <c r="F558" s="176"/>
    </row>
    <row r="559" spans="1:6" x14ac:dyDescent="0.2">
      <c r="A559" s="176"/>
      <c r="B559" s="177"/>
      <c r="C559" s="176"/>
      <c r="D559" s="176"/>
      <c r="E559" s="179" t="s">
        <v>3510</v>
      </c>
      <c r="F559" s="176"/>
    </row>
    <row r="560" spans="1:6" x14ac:dyDescent="0.2">
      <c r="A560" s="176"/>
      <c r="B560" s="177"/>
      <c r="C560" s="176"/>
      <c r="D560" s="176"/>
      <c r="E560" s="179" t="s">
        <v>3511</v>
      </c>
      <c r="F560" s="176"/>
    </row>
    <row r="561" spans="1:6" x14ac:dyDescent="0.2">
      <c r="A561" s="176"/>
      <c r="B561" s="177"/>
      <c r="C561" s="176"/>
      <c r="D561" s="176"/>
      <c r="E561" s="178" t="s">
        <v>3252</v>
      </c>
      <c r="F561" s="176"/>
    </row>
    <row r="562" spans="1:6" x14ac:dyDescent="0.2">
      <c r="A562" s="176"/>
      <c r="B562" s="177"/>
      <c r="C562" s="176" t="s">
        <v>2715</v>
      </c>
      <c r="D562" s="176" t="str">
        <f>"Membre du ménage 1"</f>
        <v>Membre du ménage 1</v>
      </c>
      <c r="E562" s="179" t="s">
        <v>3512</v>
      </c>
      <c r="F562" s="176" t="s">
        <v>2716</v>
      </c>
    </row>
    <row r="563" spans="1:6" x14ac:dyDescent="0.2">
      <c r="A563" s="176"/>
      <c r="B563" s="177"/>
      <c r="C563" s="176" t="s">
        <v>2717</v>
      </c>
      <c r="D563" s="176" t="str">
        <f>"Membre du ménage 2"</f>
        <v>Membre du ménage 2</v>
      </c>
      <c r="E563" s="179" t="s">
        <v>3513</v>
      </c>
      <c r="F563" s="176"/>
    </row>
    <row r="564" spans="1:6" x14ac:dyDescent="0.2">
      <c r="A564" s="176"/>
      <c r="B564" s="177"/>
      <c r="C564" s="176" t="s">
        <v>2718</v>
      </c>
      <c r="D564" s="176" t="str">
        <f>"Membre du ménage 3"</f>
        <v>Membre du ménage 3</v>
      </c>
      <c r="E564" s="179" t="s">
        <v>3514</v>
      </c>
      <c r="F564" s="176"/>
    </row>
    <row r="565" spans="1:6" x14ac:dyDescent="0.2">
      <c r="A565" s="176"/>
      <c r="B565" s="177"/>
      <c r="C565" s="176" t="s">
        <v>2719</v>
      </c>
      <c r="D565" s="176" t="str">
        <f>"Membre du ménage 4"</f>
        <v>Membre du ménage 4</v>
      </c>
      <c r="E565" s="179" t="s">
        <v>3515</v>
      </c>
      <c r="F565" s="176"/>
    </row>
    <row r="566" spans="1:6" x14ac:dyDescent="0.2">
      <c r="A566" s="176"/>
      <c r="B566" s="177"/>
      <c r="C566" s="176" t="s">
        <v>2720</v>
      </c>
      <c r="D566" s="176" t="str">
        <f>"Membre du ménage 5"</f>
        <v>Membre du ménage 5</v>
      </c>
      <c r="E566" s="179" t="s">
        <v>3516</v>
      </c>
      <c r="F566" s="176"/>
    </row>
    <row r="567" spans="1:6" x14ac:dyDescent="0.2">
      <c r="A567" s="176"/>
      <c r="B567" s="177"/>
      <c r="C567" s="176" t="s">
        <v>2721</v>
      </c>
      <c r="D567" s="176" t="str">
        <f>"Membre du ménage 6"</f>
        <v>Membre du ménage 6</v>
      </c>
      <c r="E567" s="179" t="s">
        <v>3517</v>
      </c>
      <c r="F567" s="176"/>
    </row>
    <row r="568" spans="1:6" x14ac:dyDescent="0.2">
      <c r="A568" s="176"/>
      <c r="B568" s="177"/>
      <c r="C568" s="176"/>
      <c r="D568" s="176"/>
      <c r="E568" s="179" t="s">
        <v>3518</v>
      </c>
      <c r="F568" s="176"/>
    </row>
    <row r="569" spans="1:6" x14ac:dyDescent="0.2">
      <c r="A569" s="176"/>
      <c r="B569" s="177"/>
      <c r="C569" s="176"/>
      <c r="D569" s="176"/>
      <c r="E569" s="178" t="s">
        <v>3252</v>
      </c>
      <c r="F569" s="176"/>
    </row>
    <row r="570" spans="1:6" x14ac:dyDescent="0.2">
      <c r="A570" s="176"/>
      <c r="B570" s="177"/>
      <c r="C570" s="176" t="s">
        <v>2722</v>
      </c>
      <c r="D570" s="176" t="str">
        <f>"Formation achevée la plus élevée"</f>
        <v>Formation achevée la plus élevée</v>
      </c>
      <c r="E570" s="179" t="s">
        <v>3519</v>
      </c>
      <c r="F570" s="176" t="s">
        <v>2723</v>
      </c>
    </row>
    <row r="571" spans="1:6" x14ac:dyDescent="0.2">
      <c r="A571" s="176"/>
      <c r="B571" s="177"/>
      <c r="C571" s="176"/>
      <c r="D571" s="176"/>
      <c r="E571" s="179" t="s">
        <v>3520</v>
      </c>
      <c r="F571" s="176"/>
    </row>
    <row r="572" spans="1:6" x14ac:dyDescent="0.2">
      <c r="A572" s="176"/>
      <c r="B572" s="177"/>
      <c r="C572" s="176"/>
      <c r="D572" s="176"/>
      <c r="E572" s="179" t="s">
        <v>3521</v>
      </c>
      <c r="F572" s="176"/>
    </row>
    <row r="573" spans="1:6" x14ac:dyDescent="0.2">
      <c r="A573" s="176"/>
      <c r="B573" s="177"/>
      <c r="C573" s="176"/>
      <c r="D573" s="176"/>
      <c r="E573" s="179" t="s">
        <v>3522</v>
      </c>
      <c r="F573" s="176"/>
    </row>
    <row r="574" spans="1:6" x14ac:dyDescent="0.2">
      <c r="A574" s="176"/>
      <c r="B574" s="177"/>
      <c r="C574" s="176"/>
      <c r="D574" s="176"/>
      <c r="E574" s="179" t="s">
        <v>3523</v>
      </c>
      <c r="F574" s="176"/>
    </row>
    <row r="575" spans="1:6" x14ac:dyDescent="0.2">
      <c r="A575" s="176"/>
      <c r="B575" s="177"/>
      <c r="C575" s="176"/>
      <c r="D575" s="176"/>
      <c r="E575" s="179" t="s">
        <v>3524</v>
      </c>
      <c r="F575" s="176"/>
    </row>
    <row r="576" spans="1:6" x14ac:dyDescent="0.2">
      <c r="A576" s="176"/>
      <c r="B576" s="177"/>
      <c r="C576" s="176"/>
      <c r="D576" s="176"/>
      <c r="E576" s="179" t="s">
        <v>3525</v>
      </c>
      <c r="F576" s="176"/>
    </row>
    <row r="577" spans="1:6" x14ac:dyDescent="0.2">
      <c r="A577" s="176"/>
      <c r="B577" s="177"/>
      <c r="C577" s="176"/>
      <c r="D577" s="176"/>
      <c r="E577" s="179" t="s">
        <v>3526</v>
      </c>
      <c r="F577" s="176"/>
    </row>
    <row r="578" spans="1:6" x14ac:dyDescent="0.2">
      <c r="A578" s="176"/>
      <c r="B578" s="177"/>
      <c r="C578" s="176"/>
      <c r="D578" s="176"/>
      <c r="E578" s="178" t="s">
        <v>3252</v>
      </c>
      <c r="F578" s="176"/>
    </row>
    <row r="579" spans="1:6" x14ac:dyDescent="0.2">
      <c r="A579" s="176"/>
      <c r="B579" s="177"/>
      <c r="C579" s="176" t="s">
        <v>2724</v>
      </c>
      <c r="D579" s="176" t="str">
        <f>"Nationalité"</f>
        <v>Nationalité</v>
      </c>
      <c r="E579" s="179" t="s">
        <v>3527</v>
      </c>
      <c r="F579" s="176" t="s">
        <v>2725</v>
      </c>
    </row>
    <row r="580" spans="1:6" x14ac:dyDescent="0.2">
      <c r="A580" s="176"/>
      <c r="B580" s="177"/>
      <c r="C580" s="176"/>
      <c r="D580" s="176"/>
      <c r="E580" s="179" t="s">
        <v>3528</v>
      </c>
      <c r="F580" s="176"/>
    </row>
    <row r="581" spans="1:6" x14ac:dyDescent="0.2">
      <c r="A581" s="176"/>
      <c r="B581" s="177"/>
      <c r="C581" s="176"/>
      <c r="D581" s="176"/>
      <c r="E581" s="179" t="s">
        <v>3529</v>
      </c>
      <c r="F581" s="176"/>
    </row>
    <row r="582" spans="1:6" x14ac:dyDescent="0.2">
      <c r="A582" s="176"/>
      <c r="B582" s="177"/>
      <c r="C582" s="176"/>
      <c r="D582" s="176"/>
      <c r="E582" s="179" t="s">
        <v>3530</v>
      </c>
      <c r="F582" s="176"/>
    </row>
    <row r="583" spans="1:6" x14ac:dyDescent="0.2">
      <c r="A583" s="176"/>
      <c r="B583" s="177"/>
      <c r="C583" s="176"/>
      <c r="D583" s="176"/>
      <c r="E583" s="179" t="s">
        <v>3531</v>
      </c>
      <c r="F583" s="176"/>
    </row>
    <row r="584" spans="1:6" x14ac:dyDescent="0.2">
      <c r="A584" s="176"/>
      <c r="B584" s="177"/>
      <c r="C584" s="176"/>
      <c r="D584" s="176"/>
      <c r="E584" s="179" t="s">
        <v>3532</v>
      </c>
      <c r="F584" s="176"/>
    </row>
    <row r="585" spans="1:6" x14ac:dyDescent="0.2">
      <c r="A585" s="176"/>
      <c r="B585" s="177"/>
      <c r="C585" s="176"/>
      <c r="D585" s="176"/>
      <c r="E585" s="179" t="s">
        <v>3533</v>
      </c>
      <c r="F585" s="176"/>
    </row>
    <row r="586" spans="1:6" x14ac:dyDescent="0.2">
      <c r="A586" s="176"/>
      <c r="B586" s="177"/>
      <c r="C586" s="176"/>
      <c r="D586" s="176"/>
      <c r="E586" s="179" t="s">
        <v>3534</v>
      </c>
      <c r="F586" s="176"/>
    </row>
    <row r="587" spans="1:6" x14ac:dyDescent="0.2">
      <c r="A587" s="176"/>
      <c r="B587" s="177"/>
      <c r="C587" s="176"/>
      <c r="D587" s="176"/>
      <c r="E587" s="179" t="s">
        <v>3535</v>
      </c>
      <c r="F587" s="176"/>
    </row>
    <row r="588" spans="1:6" x14ac:dyDescent="0.2">
      <c r="A588" s="176"/>
      <c r="B588" s="177"/>
      <c r="C588" s="176"/>
      <c r="D588" s="176"/>
      <c r="E588" s="179" t="s">
        <v>3536</v>
      </c>
      <c r="F588" s="176"/>
    </row>
    <row r="589" spans="1:6" x14ac:dyDescent="0.2">
      <c r="A589" s="176"/>
      <c r="B589" s="177"/>
      <c r="C589" s="176"/>
      <c r="D589" s="176"/>
      <c r="E589" s="179" t="s">
        <v>3537</v>
      </c>
      <c r="F589" s="176"/>
    </row>
    <row r="590" spans="1:6" x14ac:dyDescent="0.2">
      <c r="A590" s="176"/>
      <c r="B590" s="177"/>
      <c r="C590" s="176"/>
      <c r="D590" s="176"/>
      <c r="E590" s="179" t="s">
        <v>3538</v>
      </c>
      <c r="F590" s="176"/>
    </row>
    <row r="591" spans="1:6" x14ac:dyDescent="0.2">
      <c r="A591" s="176"/>
      <c r="B591" s="177"/>
      <c r="C591" s="176"/>
      <c r="D591" s="176"/>
      <c r="E591" s="179" t="s">
        <v>3539</v>
      </c>
      <c r="F591" s="176"/>
    </row>
    <row r="592" spans="1:6" x14ac:dyDescent="0.2">
      <c r="A592" s="176"/>
      <c r="B592" s="177"/>
      <c r="C592" s="176"/>
      <c r="D592" s="176"/>
      <c r="E592" s="179" t="s">
        <v>3540</v>
      </c>
      <c r="F592" s="176"/>
    </row>
    <row r="593" spans="1:6" x14ac:dyDescent="0.2">
      <c r="A593" s="176"/>
      <c r="B593" s="177"/>
      <c r="C593" s="176"/>
      <c r="D593" s="176"/>
      <c r="E593" s="179" t="s">
        <v>3541</v>
      </c>
      <c r="F593" s="176"/>
    </row>
    <row r="594" spans="1:6" x14ac:dyDescent="0.2">
      <c r="A594" s="176"/>
      <c r="B594" s="177"/>
      <c r="C594" s="176"/>
      <c r="D594" s="176"/>
      <c r="E594" s="179" t="s">
        <v>3542</v>
      </c>
      <c r="F594" s="176"/>
    </row>
    <row r="595" spans="1:6" x14ac:dyDescent="0.2">
      <c r="A595" s="176"/>
      <c r="B595" s="177"/>
      <c r="C595" s="176"/>
      <c r="D595" s="176"/>
      <c r="E595" s="179" t="s">
        <v>3543</v>
      </c>
      <c r="F595" s="176"/>
    </row>
    <row r="596" spans="1:6" x14ac:dyDescent="0.2">
      <c r="A596" s="176"/>
      <c r="B596" s="177"/>
      <c r="C596" s="176"/>
      <c r="D596" s="176"/>
      <c r="E596" s="178" t="s">
        <v>3544</v>
      </c>
      <c r="F596" s="176"/>
    </row>
    <row r="597" spans="1:6" x14ac:dyDescent="0.2">
      <c r="A597" s="176"/>
      <c r="B597" s="177"/>
      <c r="C597" s="176"/>
      <c r="D597" s="176"/>
      <c r="E597" s="178" t="s">
        <v>3252</v>
      </c>
      <c r="F597" s="176"/>
    </row>
    <row r="598" spans="1:6" x14ac:dyDescent="0.2">
      <c r="A598" s="176"/>
      <c r="B598" s="177"/>
      <c r="C598" s="176" t="s">
        <v>2726</v>
      </c>
      <c r="D598" s="176" t="str">
        <f>"Estimation du revenu total du ménage"</f>
        <v>Estimation du revenu total du ménage</v>
      </c>
      <c r="E598" s="179" t="s">
        <v>3545</v>
      </c>
      <c r="F598" s="176" t="s">
        <v>2727</v>
      </c>
    </row>
    <row r="599" spans="1:6" x14ac:dyDescent="0.2">
      <c r="A599" s="176"/>
      <c r="B599" s="177"/>
      <c r="C599" s="176"/>
      <c r="D599" s="176"/>
      <c r="E599" s="179" t="s">
        <v>3546</v>
      </c>
      <c r="F599" s="176"/>
    </row>
    <row r="600" spans="1:6" x14ac:dyDescent="0.2">
      <c r="A600" s="176"/>
      <c r="B600" s="177"/>
      <c r="C600" s="176"/>
      <c r="D600" s="176"/>
      <c r="E600" s="179" t="s">
        <v>3547</v>
      </c>
      <c r="F600" s="176"/>
    </row>
    <row r="601" spans="1:6" x14ac:dyDescent="0.2">
      <c r="A601" s="176"/>
      <c r="B601" s="177"/>
      <c r="C601" s="176"/>
      <c r="D601" s="176"/>
      <c r="E601" s="179" t="s">
        <v>3548</v>
      </c>
      <c r="F601" s="176"/>
    </row>
    <row r="602" spans="1:6" x14ac:dyDescent="0.2">
      <c r="A602" s="176"/>
      <c r="B602" s="177"/>
      <c r="C602" s="176"/>
      <c r="D602" s="176"/>
      <c r="E602" s="179" t="s">
        <v>3549</v>
      </c>
      <c r="F602" s="176"/>
    </row>
    <row r="603" spans="1:6" x14ac:dyDescent="0.2">
      <c r="A603" s="176"/>
      <c r="B603" s="177"/>
      <c r="C603" s="176"/>
      <c r="D603" s="176"/>
      <c r="E603" s="178" t="s">
        <v>3252</v>
      </c>
      <c r="F603" s="176"/>
    </row>
    <row r="604" spans="1:6" x14ac:dyDescent="0.2">
      <c r="A604" s="176"/>
      <c r="B604" s="177"/>
      <c r="C604" s="176" t="s">
        <v>2728</v>
      </c>
      <c r="D604" s="176" t="str">
        <f>"Personnes 60+ ans : nombre d'enfants en vie : fréquence de rencontre"</f>
        <v>Personnes 60+ ans : nombre d'enfants en vie : fréquence de rencontre</v>
      </c>
      <c r="E604" s="179" t="s">
        <v>3550</v>
      </c>
      <c r="F604" s="176" t="s">
        <v>2729</v>
      </c>
    </row>
    <row r="605" spans="1:6" x14ac:dyDescent="0.2">
      <c r="A605" s="176"/>
      <c r="B605" s="177"/>
      <c r="C605" s="176"/>
      <c r="D605" s="176"/>
      <c r="E605" s="179" t="s">
        <v>3551</v>
      </c>
      <c r="F605" s="176"/>
    </row>
    <row r="606" spans="1:6" x14ac:dyDescent="0.2">
      <c r="A606" s="176"/>
      <c r="B606" s="177"/>
      <c r="C606" s="176"/>
      <c r="D606" s="176"/>
      <c r="E606" s="179" t="s">
        <v>3552</v>
      </c>
      <c r="F606" s="176"/>
    </row>
    <row r="607" spans="1:6" x14ac:dyDescent="0.2">
      <c r="A607" s="176"/>
      <c r="B607" s="177"/>
      <c r="C607" s="176"/>
      <c r="D607" s="176"/>
      <c r="E607" s="179" t="s">
        <v>3553</v>
      </c>
      <c r="F607" s="176"/>
    </row>
    <row r="608" spans="1:6" x14ac:dyDescent="0.2">
      <c r="A608" s="176"/>
      <c r="B608" s="177"/>
      <c r="C608" s="176"/>
      <c r="D608" s="176"/>
      <c r="E608" s="179" t="s">
        <v>3554</v>
      </c>
      <c r="F608" s="176"/>
    </row>
    <row r="609" spans="1:6" x14ac:dyDescent="0.2">
      <c r="A609" s="176"/>
      <c r="B609" s="177"/>
      <c r="C609" s="176"/>
      <c r="D609" s="176"/>
      <c r="E609" s="178" t="s">
        <v>3252</v>
      </c>
      <c r="F609" s="176"/>
    </row>
    <row r="610" spans="1:6" x14ac:dyDescent="0.2">
      <c r="A610" s="176"/>
      <c r="B610" s="177"/>
      <c r="C610" s="176" t="s">
        <v>2730</v>
      </c>
      <c r="D610" s="176" t="str">
        <f>"Personnes 60+ ans : nombre d'années passées dans logement actuel"</f>
        <v>Personnes 60+ ans : nombre d'années passées dans logement actuel</v>
      </c>
      <c r="E610" s="179" t="s">
        <v>3555</v>
      </c>
      <c r="F610" s="176" t="s">
        <v>2731</v>
      </c>
    </row>
    <row r="611" spans="1:6" x14ac:dyDescent="0.2">
      <c r="A611" s="176"/>
      <c r="B611" s="177"/>
      <c r="C611" s="176"/>
      <c r="D611" s="176"/>
      <c r="E611" s="178" t="s">
        <v>3252</v>
      </c>
      <c r="F611" s="176"/>
    </row>
    <row r="612" spans="1:6" x14ac:dyDescent="0.2">
      <c r="A612" s="176"/>
      <c r="B612" s="177"/>
      <c r="C612" s="176" t="s">
        <v>2732</v>
      </c>
      <c r="D612" s="176" t="str">
        <f>"Personnes 60+ ans : chutes (12 mois) : nombre de fois"</f>
        <v>Personnes 60+ ans : chutes (12 mois) : nombre de fois</v>
      </c>
      <c r="E612" s="179" t="s">
        <v>3556</v>
      </c>
      <c r="F612" s="176" t="s">
        <v>2733</v>
      </c>
    </row>
    <row r="613" spans="1:6" x14ac:dyDescent="0.2">
      <c r="A613" s="176"/>
      <c r="B613" s="177"/>
      <c r="C613" s="176"/>
      <c r="D613" s="176"/>
      <c r="E613" s="179" t="s">
        <v>3557</v>
      </c>
      <c r="F613" s="176"/>
    </row>
    <row r="614" spans="1:6" x14ac:dyDescent="0.2">
      <c r="A614" s="176"/>
      <c r="B614" s="177"/>
      <c r="C614" s="176"/>
      <c r="D614" s="176"/>
      <c r="E614" s="179" t="s">
        <v>3558</v>
      </c>
      <c r="F614" s="176"/>
    </row>
    <row r="615" spans="1:6" x14ac:dyDescent="0.2">
      <c r="A615" s="176"/>
      <c r="B615" s="177"/>
      <c r="C615" s="176"/>
      <c r="D615" s="176"/>
      <c r="E615" s="178" t="s">
        <v>3252</v>
      </c>
      <c r="F615" s="176"/>
    </row>
    <row r="616" spans="1:6" x14ac:dyDescent="0.2">
      <c r="A616" s="176"/>
      <c r="B616" s="177"/>
      <c r="C616" s="176" t="s">
        <v>2734</v>
      </c>
      <c r="D616" s="176" t="str">
        <f>"(15-39 ans) Haschich : temps depuis arrêt (année)"</f>
        <v>(15-39 ans) Haschich : temps depuis arrêt (année)</v>
      </c>
      <c r="E616" s="179" t="s">
        <v>3368</v>
      </c>
      <c r="F616" s="176" t="s">
        <v>2735</v>
      </c>
    </row>
    <row r="617" spans="1:6" x14ac:dyDescent="0.2">
      <c r="A617" s="176"/>
      <c r="B617" s="177"/>
      <c r="C617" s="176" t="s">
        <v>2736</v>
      </c>
      <c r="D617" s="176" t="str">
        <f>"(15-39 ans) Héroïne : temps depuis arrêt (année)"</f>
        <v>(15-39 ans) Héroïne : temps depuis arrêt (année)</v>
      </c>
      <c r="E617" s="178" t="s">
        <v>3252</v>
      </c>
      <c r="F617" s="176"/>
    </row>
    <row r="618" spans="1:6" x14ac:dyDescent="0.2">
      <c r="A618" s="176"/>
      <c r="B618" s="177"/>
      <c r="C618" s="176" t="s">
        <v>2737</v>
      </c>
      <c r="D618" s="176" t="str">
        <f>"(15-39 ans) Cocaïne : temps depuis arrêt (année)"</f>
        <v>(15-39 ans) Cocaïne : temps depuis arrêt (année)</v>
      </c>
      <c r="E618" s="178"/>
      <c r="F618" s="176"/>
    </row>
    <row r="619" spans="1:6" x14ac:dyDescent="0.2">
      <c r="A619" s="176"/>
      <c r="B619" s="177"/>
      <c r="C619" s="176" t="s">
        <v>2738</v>
      </c>
      <c r="D619" s="176" t="str">
        <f>"(15-39 ans) Méthadone : temps depuis arrêt (année)"</f>
        <v>(15-39 ans) Méthadone : temps depuis arrêt (année)</v>
      </c>
      <c r="E619" s="178"/>
      <c r="F619" s="176"/>
    </row>
    <row r="620" spans="1:6" x14ac:dyDescent="0.2">
      <c r="A620" s="176"/>
      <c r="B620" s="177"/>
      <c r="C620" s="176" t="s">
        <v>2739</v>
      </c>
      <c r="D620" s="176" t="str">
        <f>"(15-39 ans) Crack, freebase : temps depuis arrêt (année)"</f>
        <v>(15-39 ans) Crack, freebase : temps depuis arrêt (année)</v>
      </c>
      <c r="E620" s="178"/>
      <c r="F620" s="176"/>
    </row>
    <row r="621" spans="1:6" x14ac:dyDescent="0.2">
      <c r="A621" s="176"/>
      <c r="B621" s="177"/>
      <c r="C621" s="176" t="s">
        <v>2740</v>
      </c>
      <c r="D621" s="176" t="str">
        <f>"(15-39 ans) Amphétamines : temps depuis arrêt (année)"</f>
        <v>(15-39 ans) Amphétamines : temps depuis arrêt (année)</v>
      </c>
      <c r="E621" s="178"/>
      <c r="F621" s="176"/>
    </row>
    <row r="622" spans="1:6" x14ac:dyDescent="0.2">
      <c r="A622" s="176"/>
      <c r="B622" s="177"/>
      <c r="C622" s="176" t="s">
        <v>2741</v>
      </c>
      <c r="D622" s="176" t="str">
        <f>"(15-39 ans) Hallucinogènes : temps depuis arrêt (année)"</f>
        <v>(15-39 ans) Hallucinogènes : temps depuis arrêt (année)</v>
      </c>
      <c r="E622" s="178"/>
      <c r="F622" s="176"/>
    </row>
    <row r="623" spans="1:6" x14ac:dyDescent="0.2">
      <c r="A623" s="176"/>
      <c r="B623" s="177"/>
      <c r="C623" s="176" t="s">
        <v>2742</v>
      </c>
      <c r="D623" s="176" t="str">
        <f>"(15-39 ans) Autres stupéfiants : temps depuis arrêt (année)"</f>
        <v>(15-39 ans) Autres stupéfiants : temps depuis arrêt (année)</v>
      </c>
      <c r="E623" s="178"/>
      <c r="F623" s="176"/>
    </row>
    <row r="624" spans="1:6" x14ac:dyDescent="0.2">
      <c r="A624" s="176"/>
      <c r="B624" s="177"/>
      <c r="C624" s="176" t="s">
        <v>2743</v>
      </c>
      <c r="D624" s="176" t="str">
        <f>"(15-39 ans) Haschich (12 mois) : fréquence de consommation"</f>
        <v>(15-39 ans) Haschich (12 mois) : fréquence de consommation</v>
      </c>
      <c r="E624" s="179" t="s">
        <v>3559</v>
      </c>
      <c r="F624" s="176" t="s">
        <v>2744</v>
      </c>
    </row>
    <row r="625" spans="1:6" x14ac:dyDescent="0.2">
      <c r="A625" s="176"/>
      <c r="B625" s="177"/>
      <c r="C625" s="176" t="s">
        <v>2745</v>
      </c>
      <c r="D625" s="176" t="str">
        <f>"(15-39 ans) Héroïne (12 mois) : fréquence de consommation"</f>
        <v>(15-39 ans) Héroïne (12 mois) : fréquence de consommation</v>
      </c>
      <c r="E625" s="179" t="s">
        <v>3560</v>
      </c>
      <c r="F625" s="176"/>
    </row>
    <row r="626" spans="1:6" x14ac:dyDescent="0.2">
      <c r="A626" s="176"/>
      <c r="B626" s="177"/>
      <c r="C626" s="176" t="s">
        <v>2746</v>
      </c>
      <c r="D626" s="176" t="str">
        <f>"(15-39 ans) Cocaïne (12 mois) : fréquence de consommation"</f>
        <v>(15-39 ans) Cocaïne (12 mois) : fréquence de consommation</v>
      </c>
      <c r="E626" s="179" t="s">
        <v>3561</v>
      </c>
      <c r="F626" s="176"/>
    </row>
    <row r="627" spans="1:6" x14ac:dyDescent="0.2">
      <c r="A627" s="176"/>
      <c r="B627" s="177"/>
      <c r="C627" s="176" t="s">
        <v>2747</v>
      </c>
      <c r="D627" s="176" t="str">
        <f>"(15-39 ans) Méthadone (12 mois) : fréquence de consommation"</f>
        <v>(15-39 ans) Méthadone (12 mois) : fréquence de consommation</v>
      </c>
      <c r="E627" s="178" t="s">
        <v>3252</v>
      </c>
      <c r="F627" s="176"/>
    </row>
    <row r="628" spans="1:6" x14ac:dyDescent="0.2">
      <c r="A628" s="176"/>
      <c r="B628" s="177"/>
      <c r="C628" s="176" t="s">
        <v>2748</v>
      </c>
      <c r="D628" s="176" t="str">
        <f>"(15-39 ans) Crack, freebase (12 mois) : fréquence de consommation"</f>
        <v>(15-39 ans) Crack, freebase (12 mois) : fréquence de consommation</v>
      </c>
      <c r="E628" s="178"/>
      <c r="F628" s="176"/>
    </row>
    <row r="629" spans="1:6" x14ac:dyDescent="0.2">
      <c r="A629" s="176"/>
      <c r="B629" s="177"/>
      <c r="C629" s="176" t="s">
        <v>2749</v>
      </c>
      <c r="D629" s="176" t="str">
        <f>"(15-39 ans) Amphétamines (12 mois) : fréquence de consommation"</f>
        <v>(15-39 ans) Amphétamines (12 mois) : fréquence de consommation</v>
      </c>
      <c r="E629" s="178"/>
      <c r="F629" s="176"/>
    </row>
    <row r="630" spans="1:6" x14ac:dyDescent="0.2">
      <c r="A630" s="176"/>
      <c r="B630" s="177"/>
      <c r="C630" s="176" t="s">
        <v>2750</v>
      </c>
      <c r="D630" s="176" t="str">
        <f>"(15-39 ans) Hallucinogènes (12 mois) : fréquence de consommation"</f>
        <v>(15-39 ans) Hallucinogènes (12 mois) : fréquence de consommation</v>
      </c>
      <c r="E630" s="178"/>
      <c r="F630" s="176"/>
    </row>
    <row r="631" spans="1:6" x14ac:dyDescent="0.2">
      <c r="A631" s="176"/>
      <c r="B631" s="177"/>
      <c r="C631" s="176" t="s">
        <v>2751</v>
      </c>
      <c r="D631" s="176" t="str">
        <f>"(15-39 ans) Autres stupéfiants (12 mois) : fréquence de consommation"</f>
        <v>(15-39 ans) Autres stupéfiants (12 mois) : fréquence de consommation</v>
      </c>
      <c r="E631" s="178"/>
      <c r="F631" s="176"/>
    </row>
    <row r="632" spans="1:6" x14ac:dyDescent="0.2">
      <c r="A632" s="176"/>
      <c r="B632" s="177"/>
      <c r="C632" s="176" t="s">
        <v>2752</v>
      </c>
      <c r="D632" s="176" t="str">
        <f>"(15-39 ans) Haschich : manière de consommer"</f>
        <v>(15-39 ans) Haschich : manière de consommer</v>
      </c>
      <c r="E632" s="179" t="s">
        <v>3562</v>
      </c>
      <c r="F632" s="176" t="s">
        <v>2753</v>
      </c>
    </row>
    <row r="633" spans="1:6" x14ac:dyDescent="0.2">
      <c r="A633" s="176"/>
      <c r="B633" s="177"/>
      <c r="C633" s="176" t="s">
        <v>2754</v>
      </c>
      <c r="D633" s="176" t="str">
        <f>"(15-39 ans) Héroïne : manière de consommer"</f>
        <v>(15-39 ans) Héroïne : manière de consommer</v>
      </c>
      <c r="E633" s="179" t="s">
        <v>3563</v>
      </c>
      <c r="F633" s="176"/>
    </row>
    <row r="634" spans="1:6" x14ac:dyDescent="0.2">
      <c r="A634" s="176"/>
      <c r="B634" s="177"/>
      <c r="C634" s="176" t="s">
        <v>2755</v>
      </c>
      <c r="D634" s="176" t="str">
        <f>"(15-39 ans) Cocaïne : manière de consommer"</f>
        <v>(15-39 ans) Cocaïne : manière de consommer</v>
      </c>
      <c r="E634" s="179" t="s">
        <v>3564</v>
      </c>
      <c r="F634" s="176"/>
    </row>
    <row r="635" spans="1:6" x14ac:dyDescent="0.2">
      <c r="A635" s="176"/>
      <c r="B635" s="177"/>
      <c r="C635" s="176" t="s">
        <v>2756</v>
      </c>
      <c r="D635" s="176" t="str">
        <f>"(15-39 ans) Méthadone : manière de consommer"</f>
        <v>(15-39 ans) Méthadone : manière de consommer</v>
      </c>
      <c r="E635" s="179" t="s">
        <v>3565</v>
      </c>
      <c r="F635" s="176"/>
    </row>
    <row r="636" spans="1:6" x14ac:dyDescent="0.2">
      <c r="A636" s="176"/>
      <c r="B636" s="177"/>
      <c r="C636" s="176" t="s">
        <v>2757</v>
      </c>
      <c r="D636" s="176" t="str">
        <f>"(15-39 ans) Crack, freebase : manière de consommer"</f>
        <v>(15-39 ans) Crack, freebase : manière de consommer</v>
      </c>
      <c r="E636" s="178" t="s">
        <v>3252</v>
      </c>
      <c r="F636" s="176"/>
    </row>
    <row r="637" spans="1:6" x14ac:dyDescent="0.2">
      <c r="A637" s="176"/>
      <c r="B637" s="177"/>
      <c r="C637" s="176" t="s">
        <v>2758</v>
      </c>
      <c r="D637" s="176" t="str">
        <f>"(15-39 ans) Amphétamines : manière de consommer"</f>
        <v>(15-39 ans) Amphétamines : manière de consommer</v>
      </c>
      <c r="E637" s="178"/>
      <c r="F637" s="176"/>
    </row>
    <row r="638" spans="1:6" x14ac:dyDescent="0.2">
      <c r="A638" s="176"/>
      <c r="B638" s="177"/>
      <c r="C638" s="176" t="s">
        <v>2759</v>
      </c>
      <c r="D638" s="176" t="str">
        <f>"(15-39 ans) Hallucinogènes : manière de consommer"</f>
        <v>(15-39 ans) Hallucinogènes : manière de consommer</v>
      </c>
      <c r="E638" s="178"/>
      <c r="F638" s="176"/>
    </row>
    <row r="639" spans="1:6" x14ac:dyDescent="0.2">
      <c r="A639" s="176"/>
      <c r="B639" s="177"/>
      <c r="C639" s="176" t="s">
        <v>2760</v>
      </c>
      <c r="D639" s="176" t="str">
        <f>"(15-39 ans) Autres stupéfiants : manière de consommer"</f>
        <v>(15-39 ans) Autres stupéfiants : manière de consommer</v>
      </c>
      <c r="E639" s="178"/>
      <c r="F639" s="176"/>
    </row>
    <row r="640" spans="1:6" x14ac:dyDescent="0.2">
      <c r="A640" s="176"/>
      <c r="B640" s="177"/>
      <c r="C640" s="176" t="s">
        <v>2761</v>
      </c>
      <c r="D640" s="176" t="str">
        <f>"De quoi dépend la ± bonne santé d'une personne"</f>
        <v>De quoi dépend la ± bonne santé d'une personne</v>
      </c>
      <c r="E640" s="179" t="s">
        <v>3566</v>
      </c>
      <c r="F640" s="176" t="s">
        <v>2762</v>
      </c>
    </row>
    <row r="641" spans="1:6" x14ac:dyDescent="0.2">
      <c r="A641" s="176"/>
      <c r="B641" s="177"/>
      <c r="C641" s="176"/>
      <c r="D641" s="176"/>
      <c r="E641" s="179" t="s">
        <v>3567</v>
      </c>
      <c r="F641" s="176"/>
    </row>
    <row r="642" spans="1:6" x14ac:dyDescent="0.2">
      <c r="A642" s="176"/>
      <c r="B642" s="177"/>
      <c r="C642" s="176"/>
      <c r="D642" s="176"/>
      <c r="E642" s="179" t="s">
        <v>3568</v>
      </c>
      <c r="F642" s="176"/>
    </row>
    <row r="643" spans="1:6" x14ac:dyDescent="0.2">
      <c r="A643" s="176"/>
      <c r="B643" s="177"/>
      <c r="C643" s="176"/>
      <c r="D643" s="176"/>
      <c r="E643" s="179" t="s">
        <v>3569</v>
      </c>
      <c r="F643" s="176"/>
    </row>
    <row r="644" spans="1:6" x14ac:dyDescent="0.2">
      <c r="A644" s="176"/>
      <c r="B644" s="177"/>
      <c r="C644" s="176"/>
      <c r="D644" s="176"/>
      <c r="E644" s="178" t="s">
        <v>3252</v>
      </c>
      <c r="F644" s="176"/>
    </row>
    <row r="645" spans="1:6" x14ac:dyDescent="0.2">
      <c r="A645" s="176"/>
      <c r="B645" s="177"/>
      <c r="C645" s="171" t="s">
        <v>2763</v>
      </c>
      <c r="D645" s="171" t="str">
        <f xml:space="preserve">   "Âge (3 groupes)"</f>
        <v>Âge (3 groupes)</v>
      </c>
      <c r="E645" s="171" t="s">
        <v>3570</v>
      </c>
      <c r="F645" s="171" t="s">
        <v>2763</v>
      </c>
    </row>
    <row r="646" spans="1:6" x14ac:dyDescent="0.2">
      <c r="A646" s="176"/>
      <c r="B646" s="177"/>
      <c r="C646" s="171"/>
      <c r="D646" s="171"/>
      <c r="E646" s="171" t="s">
        <v>3571</v>
      </c>
      <c r="F646" s="171"/>
    </row>
    <row r="647" spans="1:6" x14ac:dyDescent="0.2">
      <c r="A647" s="176"/>
      <c r="B647" s="177"/>
      <c r="C647" s="171"/>
      <c r="D647" s="171"/>
      <c r="E647" s="171" t="s">
        <v>3572</v>
      </c>
      <c r="F647" s="171"/>
    </row>
    <row r="648" spans="1:6" x14ac:dyDescent="0.2">
      <c r="A648" s="176"/>
      <c r="B648" s="177"/>
      <c r="C648" s="171"/>
      <c r="D648" s="171"/>
      <c r="E648" s="171" t="s">
        <v>3252</v>
      </c>
      <c r="F648" s="171"/>
    </row>
    <row r="649" spans="1:6" x14ac:dyDescent="0.2">
      <c r="A649" s="176"/>
      <c r="B649" s="177"/>
      <c r="C649" s="171" t="s">
        <v>2764</v>
      </c>
      <c r="D649" s="171" t="str">
        <f xml:space="preserve">   "Âge (4 groupes)"</f>
        <v>Âge (4 groupes)</v>
      </c>
      <c r="E649" s="171" t="s">
        <v>3573</v>
      </c>
      <c r="F649" s="171" t="s">
        <v>2764</v>
      </c>
    </row>
    <row r="650" spans="1:6" x14ac:dyDescent="0.2">
      <c r="A650" s="176"/>
      <c r="B650" s="177"/>
      <c r="C650" s="171"/>
      <c r="D650" s="171"/>
      <c r="E650" s="171" t="s">
        <v>3574</v>
      </c>
      <c r="F650" s="171"/>
    </row>
    <row r="651" spans="1:6" x14ac:dyDescent="0.2">
      <c r="A651" s="176"/>
      <c r="B651" s="177"/>
      <c r="C651" s="171"/>
      <c r="D651" s="171"/>
      <c r="E651" s="171" t="s">
        <v>3575</v>
      </c>
      <c r="F651" s="171"/>
    </row>
    <row r="652" spans="1:6" x14ac:dyDescent="0.2">
      <c r="A652" s="176"/>
      <c r="B652" s="177"/>
      <c r="C652" s="171"/>
      <c r="D652" s="171"/>
      <c r="E652" s="171" t="s">
        <v>3576</v>
      </c>
      <c r="F652" s="171"/>
    </row>
    <row r="653" spans="1:6" x14ac:dyDescent="0.2">
      <c r="A653" s="176"/>
      <c r="B653" s="177"/>
      <c r="C653" s="171"/>
      <c r="D653" s="171"/>
      <c r="E653" s="171" t="s">
        <v>3252</v>
      </c>
      <c r="F653" s="171"/>
    </row>
    <row r="654" spans="1:6" x14ac:dyDescent="0.2">
      <c r="A654" s="176"/>
      <c r="B654" s="177"/>
      <c r="C654" s="171" t="s">
        <v>2765</v>
      </c>
      <c r="D654" s="171" t="str">
        <f xml:space="preserve">   "Âge (7 groupes)"</f>
        <v>Âge (7 groupes)</v>
      </c>
      <c r="E654" s="171" t="s">
        <v>3573</v>
      </c>
      <c r="F654" s="171" t="s">
        <v>2765</v>
      </c>
    </row>
    <row r="655" spans="1:6" x14ac:dyDescent="0.2">
      <c r="A655" s="176"/>
      <c r="B655" s="177"/>
      <c r="C655" s="171"/>
      <c r="D655" s="171"/>
      <c r="E655" s="171" t="s">
        <v>3577</v>
      </c>
      <c r="F655" s="171"/>
    </row>
    <row r="656" spans="1:6" x14ac:dyDescent="0.2">
      <c r="A656" s="176"/>
      <c r="B656" s="177"/>
      <c r="C656" s="171"/>
      <c r="D656" s="171"/>
      <c r="E656" s="171" t="s">
        <v>3578</v>
      </c>
      <c r="F656" s="171"/>
    </row>
    <row r="657" spans="1:6" x14ac:dyDescent="0.2">
      <c r="A657" s="176"/>
      <c r="B657" s="177"/>
      <c r="C657" s="171"/>
      <c r="D657" s="171"/>
      <c r="E657" s="171" t="s">
        <v>3579</v>
      </c>
      <c r="F657" s="171"/>
    </row>
    <row r="658" spans="1:6" x14ac:dyDescent="0.2">
      <c r="A658" s="176"/>
      <c r="B658" s="177"/>
      <c r="C658" s="171"/>
      <c r="D658" s="171"/>
      <c r="E658" s="171" t="s">
        <v>3580</v>
      </c>
      <c r="F658" s="171"/>
    </row>
    <row r="659" spans="1:6" x14ac:dyDescent="0.2">
      <c r="A659" s="176"/>
      <c r="B659" s="177"/>
      <c r="C659" s="171"/>
      <c r="D659" s="171"/>
      <c r="E659" s="171" t="s">
        <v>3581</v>
      </c>
      <c r="F659" s="171"/>
    </row>
    <row r="660" spans="1:6" x14ac:dyDescent="0.2">
      <c r="A660" s="176"/>
      <c r="B660" s="177"/>
      <c r="C660" s="171"/>
      <c r="D660" s="171"/>
      <c r="E660" s="171" t="s">
        <v>3582</v>
      </c>
      <c r="F660" s="171"/>
    </row>
    <row r="661" spans="1:6" x14ac:dyDescent="0.2">
      <c r="A661" s="176"/>
      <c r="B661" s="177"/>
      <c r="C661" s="171"/>
      <c r="D661" s="171"/>
      <c r="E661" s="171" t="s">
        <v>3252</v>
      </c>
      <c r="F661" s="171"/>
    </row>
    <row r="662" spans="1:6" x14ac:dyDescent="0.2">
      <c r="A662" s="176"/>
      <c r="B662" s="177"/>
      <c r="C662" s="171" t="s">
        <v>2766</v>
      </c>
      <c r="D662" s="171" t="str">
        <f xml:space="preserve">   "Canton selon interview"</f>
        <v>Canton selon interview</v>
      </c>
      <c r="E662" s="171" t="s">
        <v>3583</v>
      </c>
      <c r="F662" s="171" t="s">
        <v>2766</v>
      </c>
    </row>
    <row r="663" spans="1:6" x14ac:dyDescent="0.2">
      <c r="A663" s="176"/>
      <c r="B663" s="177"/>
      <c r="C663" s="171"/>
      <c r="D663" s="171"/>
      <c r="E663" s="171" t="s">
        <v>3584</v>
      </c>
      <c r="F663" s="171"/>
    </row>
    <row r="664" spans="1:6" x14ac:dyDescent="0.2">
      <c r="A664" s="176"/>
      <c r="B664" s="177"/>
      <c r="C664" s="171"/>
      <c r="D664" s="171"/>
      <c r="E664" s="171" t="s">
        <v>3585</v>
      </c>
      <c r="F664" s="171"/>
    </row>
    <row r="665" spans="1:6" x14ac:dyDescent="0.2">
      <c r="A665" s="176"/>
      <c r="B665" s="177"/>
      <c r="C665" s="171"/>
      <c r="D665" s="171"/>
      <c r="E665" s="171" t="s">
        <v>3586</v>
      </c>
      <c r="F665" s="171"/>
    </row>
    <row r="666" spans="1:6" x14ac:dyDescent="0.2">
      <c r="A666" s="176"/>
      <c r="B666" s="177"/>
      <c r="C666" s="171"/>
      <c r="D666" s="171"/>
      <c r="E666" s="171" t="s">
        <v>3587</v>
      </c>
      <c r="F666" s="171"/>
    </row>
    <row r="667" spans="1:6" x14ac:dyDescent="0.2">
      <c r="A667" s="176"/>
      <c r="B667" s="177"/>
      <c r="C667" s="171"/>
      <c r="D667" s="171"/>
      <c r="E667" s="171" t="s">
        <v>3588</v>
      </c>
      <c r="F667" s="171"/>
    </row>
    <row r="668" spans="1:6" x14ac:dyDescent="0.2">
      <c r="A668" s="176"/>
      <c r="B668" s="177"/>
      <c r="C668" s="171"/>
      <c r="D668" s="171"/>
      <c r="E668" s="171" t="s">
        <v>3589</v>
      </c>
      <c r="F668" s="171"/>
    </row>
    <row r="669" spans="1:6" x14ac:dyDescent="0.2">
      <c r="A669" s="176"/>
      <c r="B669" s="177"/>
      <c r="C669" s="171"/>
      <c r="D669" s="171"/>
      <c r="E669" s="171" t="s">
        <v>3590</v>
      </c>
      <c r="F669" s="171"/>
    </row>
    <row r="670" spans="1:6" x14ac:dyDescent="0.2">
      <c r="A670" s="176"/>
      <c r="B670" s="177"/>
      <c r="C670" s="171"/>
      <c r="D670" s="171"/>
      <c r="E670" s="171" t="s">
        <v>3591</v>
      </c>
      <c r="F670" s="171"/>
    </row>
    <row r="671" spans="1:6" x14ac:dyDescent="0.2">
      <c r="A671" s="176"/>
      <c r="B671" s="177"/>
      <c r="C671" s="171"/>
      <c r="D671" s="171"/>
      <c r="E671" s="171" t="s">
        <v>3592</v>
      </c>
      <c r="F671" s="171"/>
    </row>
    <row r="672" spans="1:6" x14ac:dyDescent="0.2">
      <c r="A672" s="176"/>
      <c r="B672" s="177"/>
      <c r="C672" s="171"/>
      <c r="D672" s="171"/>
      <c r="E672" s="171" t="s">
        <v>3593</v>
      </c>
      <c r="F672" s="171"/>
    </row>
    <row r="673" spans="1:6" x14ac:dyDescent="0.2">
      <c r="A673" s="176"/>
      <c r="B673" s="177"/>
      <c r="C673" s="171"/>
      <c r="D673" s="171"/>
      <c r="E673" s="171" t="s">
        <v>3594</v>
      </c>
      <c r="F673" s="171"/>
    </row>
    <row r="674" spans="1:6" x14ac:dyDescent="0.2">
      <c r="A674" s="176"/>
      <c r="B674" s="177"/>
      <c r="C674" s="171"/>
      <c r="D674" s="171"/>
      <c r="E674" s="171" t="s">
        <v>3595</v>
      </c>
      <c r="F674" s="171"/>
    </row>
    <row r="675" spans="1:6" x14ac:dyDescent="0.2">
      <c r="A675" s="176"/>
      <c r="B675" s="177"/>
      <c r="C675" s="171"/>
      <c r="D675" s="171"/>
      <c r="E675" s="171" t="s">
        <v>3596</v>
      </c>
      <c r="F675" s="171"/>
    </row>
    <row r="676" spans="1:6" x14ac:dyDescent="0.2">
      <c r="A676" s="176"/>
      <c r="B676" s="177"/>
      <c r="C676" s="171"/>
      <c r="D676" s="171"/>
      <c r="E676" s="171" t="s">
        <v>3597</v>
      </c>
      <c r="F676" s="171"/>
    </row>
    <row r="677" spans="1:6" x14ac:dyDescent="0.2">
      <c r="A677" s="176"/>
      <c r="B677" s="177"/>
      <c r="C677" s="171"/>
      <c r="D677" s="171"/>
      <c r="E677" s="171" t="s">
        <v>3598</v>
      </c>
      <c r="F677" s="171"/>
    </row>
    <row r="678" spans="1:6" x14ac:dyDescent="0.2">
      <c r="A678" s="176"/>
      <c r="B678" s="177"/>
      <c r="C678" s="171"/>
      <c r="D678" s="171"/>
      <c r="E678" s="171" t="s">
        <v>3599</v>
      </c>
      <c r="F678" s="171"/>
    </row>
    <row r="679" spans="1:6" x14ac:dyDescent="0.2">
      <c r="A679" s="176"/>
      <c r="B679" s="177"/>
      <c r="C679" s="171"/>
      <c r="D679" s="171"/>
      <c r="E679" s="171" t="s">
        <v>3600</v>
      </c>
      <c r="F679" s="171"/>
    </row>
    <row r="680" spans="1:6" x14ac:dyDescent="0.2">
      <c r="A680" s="176"/>
      <c r="B680" s="177"/>
      <c r="C680" s="171"/>
      <c r="D680" s="171"/>
      <c r="E680" s="171" t="s">
        <v>3601</v>
      </c>
      <c r="F680" s="171"/>
    </row>
    <row r="681" spans="1:6" x14ac:dyDescent="0.2">
      <c r="A681" s="176"/>
      <c r="B681" s="177"/>
      <c r="C681" s="171"/>
      <c r="D681" s="171"/>
      <c r="E681" s="171" t="s">
        <v>3602</v>
      </c>
      <c r="F681" s="171"/>
    </row>
    <row r="682" spans="1:6" x14ac:dyDescent="0.2">
      <c r="A682" s="176"/>
      <c r="B682" s="177"/>
      <c r="C682" s="171"/>
      <c r="D682" s="171"/>
      <c r="E682" s="171" t="s">
        <v>3603</v>
      </c>
      <c r="F682" s="171"/>
    </row>
    <row r="683" spans="1:6" x14ac:dyDescent="0.2">
      <c r="A683" s="176"/>
      <c r="B683" s="177"/>
      <c r="C683" s="171"/>
      <c r="D683" s="171"/>
      <c r="E683" s="171" t="s">
        <v>3604</v>
      </c>
      <c r="F683" s="171"/>
    </row>
    <row r="684" spans="1:6" x14ac:dyDescent="0.2">
      <c r="A684" s="176"/>
      <c r="B684" s="177"/>
      <c r="C684" s="171"/>
      <c r="D684" s="171"/>
      <c r="E684" s="171" t="s">
        <v>3605</v>
      </c>
      <c r="F684" s="171"/>
    </row>
    <row r="685" spans="1:6" x14ac:dyDescent="0.2">
      <c r="A685" s="176"/>
      <c r="B685" s="177"/>
      <c r="C685" s="171"/>
      <c r="D685" s="171"/>
      <c r="E685" s="171" t="s">
        <v>3606</v>
      </c>
      <c r="F685" s="171"/>
    </row>
    <row r="686" spans="1:6" x14ac:dyDescent="0.2">
      <c r="A686" s="176"/>
      <c r="B686" s="177"/>
      <c r="C686" s="171"/>
      <c r="D686" s="171"/>
      <c r="E686" s="171" t="s">
        <v>3607</v>
      </c>
      <c r="F686" s="171"/>
    </row>
    <row r="687" spans="1:6" x14ac:dyDescent="0.2">
      <c r="A687" s="176"/>
      <c r="B687" s="177"/>
      <c r="C687" s="171"/>
      <c r="D687" s="171"/>
      <c r="E687" s="171" t="s">
        <v>3608</v>
      </c>
      <c r="F687" s="171"/>
    </row>
    <row r="688" spans="1:6" x14ac:dyDescent="0.2">
      <c r="A688" s="176"/>
      <c r="B688" s="177"/>
      <c r="C688" s="171"/>
      <c r="D688" s="171"/>
      <c r="E688" s="171" t="s">
        <v>3252</v>
      </c>
      <c r="F688" s="171"/>
    </row>
    <row r="689" spans="1:6" x14ac:dyDescent="0.2">
      <c r="A689" s="176"/>
      <c r="B689" s="177"/>
      <c r="C689" s="171" t="s">
        <v>2767</v>
      </c>
      <c r="D689" s="171" t="str">
        <f xml:space="preserve">   "Augmentation échantillon cantonal"</f>
        <v>Augmentation échantillon cantonal</v>
      </c>
      <c r="E689" s="171" t="s">
        <v>3609</v>
      </c>
      <c r="F689" s="171" t="s">
        <v>2768</v>
      </c>
    </row>
    <row r="690" spans="1:6" x14ac:dyDescent="0.2">
      <c r="A690" s="176"/>
      <c r="B690" s="177"/>
      <c r="C690" s="171"/>
      <c r="D690" s="171"/>
      <c r="E690" s="171" t="s">
        <v>3610</v>
      </c>
      <c r="F690" s="171"/>
    </row>
    <row r="691" spans="1:6" x14ac:dyDescent="0.2">
      <c r="A691" s="176"/>
      <c r="B691" s="177"/>
      <c r="C691" s="171"/>
      <c r="D691" s="171"/>
      <c r="E691" s="171" t="s">
        <v>3252</v>
      </c>
      <c r="F691" s="171"/>
    </row>
    <row r="692" spans="1:6" x14ac:dyDescent="0.2">
      <c r="A692" s="176"/>
      <c r="B692" s="177"/>
      <c r="C692" s="176" t="s">
        <v>2769</v>
      </c>
      <c r="D692" s="176" t="str">
        <f>"Raison pour interview-proxy"</f>
        <v>Raison pour interview-proxy</v>
      </c>
      <c r="E692" s="179" t="s">
        <v>2770</v>
      </c>
      <c r="F692" s="176" t="s">
        <v>2771</v>
      </c>
    </row>
    <row r="693" spans="1:6" x14ac:dyDescent="0.2">
      <c r="A693" s="176"/>
      <c r="B693" s="177"/>
      <c r="C693" s="176"/>
      <c r="D693" s="176"/>
      <c r="E693" s="179" t="s">
        <v>2772</v>
      </c>
      <c r="F693" s="176"/>
    </row>
    <row r="694" spans="1:6" x14ac:dyDescent="0.2">
      <c r="A694" s="176"/>
      <c r="B694" s="177"/>
      <c r="C694" s="176"/>
      <c r="D694" s="176"/>
      <c r="E694" s="179" t="s">
        <v>2773</v>
      </c>
      <c r="F694" s="176"/>
    </row>
    <row r="695" spans="1:6" x14ac:dyDescent="0.2">
      <c r="A695" s="176"/>
      <c r="B695" s="177"/>
      <c r="C695" s="176"/>
      <c r="D695" s="176"/>
      <c r="E695" s="179" t="s">
        <v>2774</v>
      </c>
      <c r="F695" s="176"/>
    </row>
    <row r="696" spans="1:6" x14ac:dyDescent="0.2">
      <c r="A696" s="176"/>
      <c r="B696" s="177"/>
      <c r="C696" s="176"/>
      <c r="D696" s="176"/>
      <c r="E696" s="179" t="s">
        <v>2775</v>
      </c>
      <c r="F696" s="176"/>
    </row>
    <row r="697" spans="1:6" x14ac:dyDescent="0.2">
      <c r="A697" s="176"/>
      <c r="B697" s="177"/>
      <c r="C697" s="176"/>
      <c r="D697" s="176"/>
      <c r="E697" s="179" t="s">
        <v>2776</v>
      </c>
      <c r="F697" s="176"/>
    </row>
    <row r="698" spans="1:6" x14ac:dyDescent="0.2">
      <c r="A698" s="176"/>
      <c r="B698" s="177"/>
      <c r="C698" s="176"/>
      <c r="D698" s="176"/>
      <c r="E698" s="171" t="s">
        <v>3252</v>
      </c>
      <c r="F698" s="176"/>
    </row>
    <row r="699" spans="1:6" x14ac:dyDescent="0.2">
      <c r="A699" s="176"/>
      <c r="B699" s="177"/>
      <c r="C699" s="176" t="s">
        <v>2777</v>
      </c>
      <c r="D699" s="176" t="str">
        <f>"Participation interview téléphonique et questionnaire écrit"</f>
        <v>Participation interview téléphonique et questionnaire écrit</v>
      </c>
      <c r="E699" s="179" t="s">
        <v>3611</v>
      </c>
      <c r="F699" s="176" t="s">
        <v>2777</v>
      </c>
    </row>
    <row r="700" spans="1:6" x14ac:dyDescent="0.2">
      <c r="A700" s="176"/>
      <c r="B700" s="177"/>
      <c r="C700" s="176"/>
      <c r="D700" s="176"/>
      <c r="E700" s="178" t="s">
        <v>3612</v>
      </c>
      <c r="F700" s="176"/>
    </row>
    <row r="701" spans="1:6" x14ac:dyDescent="0.2">
      <c r="A701" s="176"/>
      <c r="B701" s="177"/>
      <c r="C701" s="176"/>
      <c r="D701" s="176"/>
      <c r="E701" s="178" t="s">
        <v>3252</v>
      </c>
      <c r="F701" s="176"/>
    </row>
    <row r="702" spans="1:6" ht="15" x14ac:dyDescent="0.2">
      <c r="A702" s="220" t="s">
        <v>2280</v>
      </c>
      <c r="B702" s="220"/>
      <c r="C702" s="220"/>
      <c r="D702" s="220"/>
      <c r="E702" s="220"/>
      <c r="F702" s="220"/>
    </row>
    <row r="703" spans="1:6" x14ac:dyDescent="0.2">
      <c r="A703" s="176"/>
      <c r="B703" s="177" t="s">
        <v>3012</v>
      </c>
      <c r="C703" s="176" t="s">
        <v>2778</v>
      </c>
      <c r="D703" s="176" t="str">
        <f>"Âge"</f>
        <v>Âge</v>
      </c>
      <c r="E703" s="178" t="s">
        <v>3252</v>
      </c>
      <c r="F703" s="176" t="s">
        <v>2779</v>
      </c>
    </row>
    <row r="704" spans="1:6" x14ac:dyDescent="0.2">
      <c r="A704" s="176"/>
      <c r="B704" s="177"/>
      <c r="C704" s="176" t="s">
        <v>2780</v>
      </c>
      <c r="D704" s="176" t="str">
        <f>"Accident de travail avec atteinte corporelle (12 mois) : incapacité de travail : nombre jours"</f>
        <v>Accident de travail avec atteinte corporelle (12 mois) : incapacité de travail : nombre jours</v>
      </c>
      <c r="E704" s="178"/>
      <c r="F704" s="176"/>
    </row>
    <row r="705" spans="1:6" x14ac:dyDescent="0.2">
      <c r="A705" s="176"/>
      <c r="B705" s="177"/>
      <c r="C705" s="176" t="s">
        <v>2781</v>
      </c>
      <c r="D705" s="176" t="str">
        <f>"Accident de la route avec atteinte corporelle (12 mois) : incapacité de travail : nombre jours"</f>
        <v>Accident de la route avec atteinte corporelle (12 mois) : incapacité de travail : nombre jours</v>
      </c>
      <c r="E705" s="178"/>
      <c r="F705" s="176"/>
    </row>
    <row r="706" spans="1:6" x14ac:dyDescent="0.2">
      <c r="A706" s="176"/>
      <c r="B706" s="177"/>
      <c r="C706" s="176" t="s">
        <v>2782</v>
      </c>
      <c r="D706" s="176" t="str">
        <f>"Accident à la maison avec atteinte corporelle (12 mois) : incapacité de travail : nombre jours"</f>
        <v>Accident à la maison avec atteinte corporelle (12 mois) : incapacité de travail : nombre jours</v>
      </c>
      <c r="E706" s="178"/>
      <c r="F706" s="176"/>
    </row>
    <row r="707" spans="1:6" x14ac:dyDescent="0.2">
      <c r="A707" s="176"/>
      <c r="B707" s="177"/>
      <c r="C707" s="176" t="s">
        <v>2783</v>
      </c>
      <c r="D707" s="176" t="str">
        <f>"Accident de sport avec atteinte corporelle (12 mois) : incapacité de travail : nombre jours"</f>
        <v>Accident de sport avec atteinte corporelle (12 mois) : incapacité de travail : nombre jours</v>
      </c>
      <c r="E707" s="178"/>
      <c r="F707" s="176"/>
    </row>
    <row r="708" spans="1:6" x14ac:dyDescent="0.2">
      <c r="A708" s="176"/>
      <c r="B708" s="177"/>
      <c r="C708" s="176" t="s">
        <v>2784</v>
      </c>
      <c r="D708" s="176" t="str">
        <f>"Ablation des amygdales : âge"</f>
        <v>Ablation des amygdales : âge</v>
      </c>
      <c r="E708" s="178"/>
      <c r="F708" s="176"/>
    </row>
    <row r="709" spans="1:6" x14ac:dyDescent="0.2">
      <c r="A709" s="176"/>
      <c r="B709" s="177"/>
      <c r="C709" s="176" t="s">
        <v>2785</v>
      </c>
      <c r="D709" s="176" t="str">
        <f>"Ablation de l'appendice : âge"</f>
        <v>Ablation de l'appendice : âge</v>
      </c>
      <c r="E709" s="178"/>
      <c r="F709" s="176"/>
    </row>
    <row r="710" spans="1:6" x14ac:dyDescent="0.2">
      <c r="A710" s="176"/>
      <c r="B710" s="177"/>
      <c r="C710" s="176" t="s">
        <v>2786</v>
      </c>
      <c r="D710" s="176" t="str">
        <f>"Opération de la hanche : âge"</f>
        <v>Opération de la hanche : âge</v>
      </c>
      <c r="E710" s="178"/>
      <c r="F710" s="176"/>
    </row>
    <row r="711" spans="1:6" x14ac:dyDescent="0.2">
      <c r="A711" s="176"/>
      <c r="B711" s="177"/>
      <c r="C711" s="176" t="s">
        <v>2787</v>
      </c>
      <c r="D711" s="176" t="str">
        <f>"Opération de la vésicule : âge"</f>
        <v>Opération de la vésicule : âge</v>
      </c>
      <c r="E711" s="178"/>
      <c r="F711" s="176"/>
    </row>
    <row r="712" spans="1:6" x14ac:dyDescent="0.2">
      <c r="A712" s="176"/>
      <c r="B712" s="177"/>
      <c r="C712" s="176" t="s">
        <v>2788</v>
      </c>
      <c r="D712" s="176" t="str">
        <f>"Ablation de la matrice : âge"</f>
        <v>Ablation de la matrice : âge</v>
      </c>
      <c r="E712" s="178"/>
      <c r="F712" s="176"/>
    </row>
    <row r="713" spans="1:6" x14ac:dyDescent="0.2">
      <c r="A713" s="176"/>
      <c r="B713" s="177"/>
      <c r="C713" s="176" t="s">
        <v>2789</v>
      </c>
      <c r="D713" s="176" t="str">
        <f>"Consultation dentiste (12 mois) : nombre"</f>
        <v>Consultation dentiste (12 mois) : nombre</v>
      </c>
      <c r="E713" s="178"/>
      <c r="F713" s="176"/>
    </row>
    <row r="714" spans="1:6" x14ac:dyDescent="0.2">
      <c r="A714" s="176"/>
      <c r="B714" s="177"/>
      <c r="C714" s="176" t="s">
        <v>2790</v>
      </c>
      <c r="D714" s="176" t="str">
        <f>"Consultation physiothérapeute (12 mois) : nombre"</f>
        <v>Consultation physiothérapeute (12 mois) : nombre</v>
      </c>
      <c r="E714" s="178"/>
      <c r="F714" s="176"/>
    </row>
    <row r="715" spans="1:6" x14ac:dyDescent="0.2">
      <c r="A715" s="176"/>
      <c r="B715" s="177"/>
      <c r="C715" s="176" t="s">
        <v>2791</v>
      </c>
      <c r="D715" s="176" t="str">
        <f>"Consultation chiropraticien (12 mois) : nombre"</f>
        <v>Consultation chiropraticien (12 mois) : nombre</v>
      </c>
      <c r="E715" s="178"/>
      <c r="F715" s="176"/>
    </row>
    <row r="716" spans="1:6" x14ac:dyDescent="0.2">
      <c r="A716" s="176"/>
      <c r="B716" s="177"/>
      <c r="C716" s="176" t="s">
        <v>2792</v>
      </c>
      <c r="D716" s="176" t="str">
        <f>"Consultation opticien (12 mois) : nombre"</f>
        <v>Consultation opticien (12 mois) : nombre</v>
      </c>
      <c r="E716" s="178"/>
      <c r="F716" s="176"/>
    </row>
    <row r="717" spans="1:6" x14ac:dyDescent="0.2">
      <c r="A717" s="176"/>
      <c r="B717" s="177"/>
      <c r="C717" s="176" t="s">
        <v>2793</v>
      </c>
      <c r="D717" s="176" t="str">
        <f>"Consultation psychologue (12 mois) : nombre"</f>
        <v>Consultation psychologue (12 mois) : nombre</v>
      </c>
      <c r="E717" s="178"/>
      <c r="F717" s="176"/>
    </row>
    <row r="718" spans="1:6" x14ac:dyDescent="0.2">
      <c r="A718" s="176"/>
      <c r="B718" s="177"/>
      <c r="C718" s="176" t="s">
        <v>2794</v>
      </c>
      <c r="D718" s="176" t="str">
        <f>"Consultation sage femme (12 mois) : nombre"</f>
        <v>Consultation sage femme (12 mois) : nombre</v>
      </c>
      <c r="E718" s="178"/>
      <c r="F718" s="176"/>
    </row>
    <row r="719" spans="1:6" x14ac:dyDescent="0.2">
      <c r="A719" s="176"/>
      <c r="B719" s="177"/>
      <c r="C719" s="176" t="s">
        <v>2795</v>
      </c>
      <c r="D719" s="176" t="str">
        <f>"Consultation podologue (12 mois) : nombre"</f>
        <v>Consultation podologue (12 mois) : nombre</v>
      </c>
      <c r="E719" s="178"/>
      <c r="F719" s="176"/>
    </row>
    <row r="720" spans="1:6" x14ac:dyDescent="0.2">
      <c r="A720" s="176"/>
      <c r="B720" s="177"/>
      <c r="C720" s="176" t="s">
        <v>2796</v>
      </c>
      <c r="D720" s="176" t="str">
        <f>"Consultation naturopathe (12 mois) : nombre"</f>
        <v>Consultation naturopathe (12 mois) : nombre</v>
      </c>
      <c r="E720" s="178"/>
      <c r="F720" s="176"/>
    </row>
    <row r="721" spans="1:6" x14ac:dyDescent="0.2">
      <c r="A721" s="176"/>
      <c r="B721" s="177"/>
      <c r="C721" s="176" t="s">
        <v>2797</v>
      </c>
      <c r="D721" s="176" t="str">
        <f>"Conseils demandés en pharmacie (12 mois) : nombre"</f>
        <v>Conseils demandés en pharmacie (12 mois) : nombre</v>
      </c>
      <c r="E721" s="178"/>
      <c r="F721" s="176"/>
    </row>
    <row r="722" spans="1:6" x14ac:dyDescent="0.2">
      <c r="A722" s="176"/>
      <c r="B722" s="177"/>
      <c r="C722" s="176" t="s">
        <v>2798</v>
      </c>
      <c r="D722" s="176" t="str">
        <f>"Consultation acupuncteur (12 mois) : nombre"</f>
        <v>Consultation acupuncteur (12 mois) : nombre</v>
      </c>
      <c r="E722" s="178"/>
      <c r="F722" s="176"/>
    </row>
    <row r="723" spans="1:6" x14ac:dyDescent="0.2">
      <c r="A723" s="176"/>
      <c r="B723" s="177"/>
      <c r="C723" s="176" t="s">
        <v>2799</v>
      </c>
      <c r="D723" s="176" t="str">
        <f>"Consultation homéopathe (12 mois) : nombre"</f>
        <v>Consultation homéopathe (12 mois) : nombre</v>
      </c>
      <c r="E723" s="178"/>
      <c r="F723" s="176"/>
    </row>
    <row r="724" spans="1:6" x14ac:dyDescent="0.2">
      <c r="A724" s="176"/>
      <c r="B724" s="177"/>
      <c r="C724" s="176" t="s">
        <v>2800</v>
      </c>
      <c r="D724" s="176" t="str">
        <f>"Consultation osthéopathe (12 mois) : nombre"</f>
        <v>Consultation osthéopathe (12 mois) : nombre</v>
      </c>
      <c r="E724" s="178"/>
      <c r="F724" s="176"/>
    </row>
    <row r="725" spans="1:6" x14ac:dyDescent="0.2">
      <c r="A725" s="176"/>
      <c r="B725" s="177"/>
      <c r="C725" s="176" t="s">
        <v>2801</v>
      </c>
      <c r="D725" s="176" t="str">
        <f>"Consultation hypnotiseur (12 mois) : nombre"</f>
        <v>Consultation hypnotiseur (12 mois) : nombre</v>
      </c>
      <c r="E725" s="178"/>
      <c r="F725" s="176"/>
    </row>
    <row r="726" spans="1:6" x14ac:dyDescent="0.2">
      <c r="A726" s="176"/>
      <c r="B726" s="177"/>
      <c r="C726" s="176" t="s">
        <v>2802</v>
      </c>
      <c r="D726" s="176" t="str">
        <f>"Nombre dents manquantes"</f>
        <v>Nombre dents manquantes</v>
      </c>
      <c r="E726" s="178"/>
      <c r="F726" s="176"/>
    </row>
    <row r="727" spans="1:6" x14ac:dyDescent="0.2">
      <c r="A727" s="176"/>
      <c r="B727" s="177"/>
      <c r="C727" s="176" t="s">
        <v>2803</v>
      </c>
      <c r="D727" s="176" t="str">
        <f>"(Femmes) Pilule : âge première prise"</f>
        <v>(Femmes) Pilule : âge première prise</v>
      </c>
      <c r="E727" s="178"/>
      <c r="F727" s="176"/>
    </row>
    <row r="728" spans="1:6" x14ac:dyDescent="0.2">
      <c r="A728" s="176"/>
      <c r="B728" s="177"/>
      <c r="C728" s="176" t="s">
        <v>2804</v>
      </c>
      <c r="D728" s="176" t="str">
        <f>"Indépendants : assurance perte de gain : montant indemnité (francs par jour)"</f>
        <v>Indépendants : assurance perte de gain : montant indemnité (francs par jour)</v>
      </c>
      <c r="E728" s="178"/>
      <c r="F728" s="176"/>
    </row>
    <row r="729" spans="1:6" x14ac:dyDescent="0.2">
      <c r="A729" s="176"/>
      <c r="B729" s="177"/>
      <c r="C729" s="176" t="s">
        <v>2805</v>
      </c>
      <c r="D729" s="176" t="str">
        <f>"Caisse-maladie : prime individuelle : montant"</f>
        <v>Caisse-maladie : prime individuelle : montant</v>
      </c>
      <c r="E729" s="178"/>
      <c r="F729" s="176"/>
    </row>
    <row r="730" spans="1:6" x14ac:dyDescent="0.2">
      <c r="A730" s="176"/>
      <c r="B730" s="177"/>
      <c r="C730" s="176" t="s">
        <v>2806</v>
      </c>
      <c r="D730" s="176" t="str">
        <f>"(TKONT03&gt;1) Caisse-maladie : prime pour le ménage : montant"</f>
        <v>(TKONT03&gt;1) Caisse-maladie : prime pour le ménage : montant</v>
      </c>
      <c r="E730" s="178"/>
      <c r="F730" s="176"/>
    </row>
    <row r="731" spans="1:6" x14ac:dyDescent="0.2">
      <c r="A731" s="176"/>
      <c r="B731" s="177"/>
      <c r="C731" s="176" t="s">
        <v>2807</v>
      </c>
      <c r="D731" s="176" t="str">
        <f>"Douleurs, crampes pectorales : localisation 1"</f>
        <v>Douleurs, crampes pectorales : localisation 1</v>
      </c>
      <c r="E731" s="178"/>
      <c r="F731" s="176"/>
    </row>
    <row r="732" spans="1:6" x14ac:dyDescent="0.2">
      <c r="A732" s="176"/>
      <c r="B732" s="177"/>
      <c r="C732" s="176" t="s">
        <v>2808</v>
      </c>
      <c r="D732" s="176" t="str">
        <f>"Douleurs, crampes pectorales : localisation 2"</f>
        <v>Douleurs, crampes pectorales : localisation 2</v>
      </c>
      <c r="E732" s="178"/>
      <c r="F732" s="176"/>
    </row>
    <row r="733" spans="1:6" x14ac:dyDescent="0.2">
      <c r="A733" s="176"/>
      <c r="B733" s="177"/>
      <c r="C733" s="176" t="s">
        <v>2809</v>
      </c>
      <c r="D733" s="176" t="str">
        <f>"Douleurs, crampes pectorales : localisation 3"</f>
        <v>Douleurs, crampes pectorales : localisation 3</v>
      </c>
      <c r="E733" s="178"/>
      <c r="F733" s="176"/>
    </row>
    <row r="734" spans="1:6" x14ac:dyDescent="0.2">
      <c r="A734" s="176"/>
      <c r="B734" s="177"/>
      <c r="C734" s="176" t="s">
        <v>2810</v>
      </c>
      <c r="D734" s="176" t="str">
        <f>"Nombre d'enfants de &lt;15 ans"</f>
        <v>Nombre d'enfants de &lt;15 ans</v>
      </c>
      <c r="E734" s="178"/>
      <c r="F734" s="176"/>
    </row>
    <row r="735" spans="1:6" x14ac:dyDescent="0.2">
      <c r="A735" s="176"/>
      <c r="B735" s="177"/>
      <c r="C735" s="176" t="s">
        <v>2811</v>
      </c>
      <c r="D735" s="176" t="str">
        <f>"Enfant 1 : âge"</f>
        <v>Enfant 1 : âge</v>
      </c>
      <c r="E735" s="178"/>
      <c r="F735" s="176"/>
    </row>
    <row r="736" spans="1:6" x14ac:dyDescent="0.2">
      <c r="A736" s="176"/>
      <c r="B736" s="177"/>
      <c r="C736" s="176" t="s">
        <v>2812</v>
      </c>
      <c r="D736" s="176" t="str">
        <f>"Enfant 2 : âge"</f>
        <v>Enfant 2 : âge</v>
      </c>
      <c r="E736" s="178"/>
      <c r="F736" s="176"/>
    </row>
    <row r="737" spans="1:6" x14ac:dyDescent="0.2">
      <c r="A737" s="176"/>
      <c r="B737" s="177"/>
      <c r="C737" s="176" t="s">
        <v>2813</v>
      </c>
      <c r="D737" s="176" t="str">
        <f>"Enfant 3 : âge"</f>
        <v>Enfant 3 : âge</v>
      </c>
      <c r="E737" s="178"/>
      <c r="F737" s="176"/>
    </row>
    <row r="738" spans="1:6" x14ac:dyDescent="0.2">
      <c r="A738" s="176"/>
      <c r="B738" s="177"/>
      <c r="C738" s="176" t="s">
        <v>2814</v>
      </c>
      <c r="D738" s="176" t="str">
        <f>"Enfant 1 : taille (cm)"</f>
        <v>Enfant 1 : taille (cm)</v>
      </c>
      <c r="E738" s="178"/>
      <c r="F738" s="176"/>
    </row>
    <row r="739" spans="1:6" x14ac:dyDescent="0.2">
      <c r="A739" s="176"/>
      <c r="B739" s="177"/>
      <c r="C739" s="176" t="s">
        <v>2815</v>
      </c>
      <c r="D739" s="176" t="str">
        <f>"Enfant 2 : taille (cm)"</f>
        <v>Enfant 2 : taille (cm)</v>
      </c>
      <c r="E739" s="178"/>
      <c r="F739" s="176"/>
    </row>
    <row r="740" spans="1:6" x14ac:dyDescent="0.2">
      <c r="A740" s="176"/>
      <c r="B740" s="177"/>
      <c r="C740" s="176" t="s">
        <v>2816</v>
      </c>
      <c r="D740" s="176" t="str">
        <f>"Enfant 3 : taille (cm)"</f>
        <v>Enfant 3 : taille (cm)</v>
      </c>
      <c r="E740" s="178"/>
      <c r="F740" s="176"/>
    </row>
    <row r="741" spans="1:6" x14ac:dyDescent="0.2">
      <c r="A741" s="176"/>
      <c r="B741" s="177"/>
      <c r="C741" s="176" t="s">
        <v>2817</v>
      </c>
      <c r="D741" s="176" t="str">
        <f>"Enfant 1 : poids (kg)"</f>
        <v>Enfant 1 : poids (kg)</v>
      </c>
      <c r="E741" s="178"/>
      <c r="F741" s="176"/>
    </row>
    <row r="742" spans="1:6" x14ac:dyDescent="0.2">
      <c r="A742" s="176"/>
      <c r="B742" s="177"/>
      <c r="C742" s="176" t="s">
        <v>2818</v>
      </c>
      <c r="D742" s="176" t="str">
        <f>"Enfant 2 : poids (kg)"</f>
        <v>Enfant 2 : poids (kg)</v>
      </c>
      <c r="E742" s="178"/>
      <c r="F742" s="176"/>
    </row>
    <row r="743" spans="1:6" x14ac:dyDescent="0.2">
      <c r="A743" s="176"/>
      <c r="B743" s="177"/>
      <c r="C743" s="176" t="s">
        <v>2819</v>
      </c>
      <c r="D743" s="176" t="str">
        <f>"Enfant 3 : poids (kg)"</f>
        <v>Enfant 3 : poids (kg)</v>
      </c>
      <c r="E743" s="178"/>
      <c r="F743" s="176"/>
    </row>
    <row r="744" spans="1:6" x14ac:dyDescent="0.2">
      <c r="A744" s="176"/>
      <c r="B744" s="177"/>
      <c r="C744" s="176" t="s">
        <v>2820</v>
      </c>
      <c r="D744" s="176" t="str">
        <f>"Enfant 1 : nombre accident maison, jardin"</f>
        <v>Enfant 1 : nombre accident maison, jardin</v>
      </c>
      <c r="E744" s="178"/>
      <c r="F744" s="176"/>
    </row>
    <row r="745" spans="1:6" x14ac:dyDescent="0.2">
      <c r="A745" s="176"/>
      <c r="B745" s="177"/>
      <c r="C745" s="176" t="s">
        <v>2821</v>
      </c>
      <c r="D745" s="176" t="str">
        <f>"Enfant 2 : nombre accident maison, jardin"</f>
        <v>Enfant 2 : nombre accident maison, jardin</v>
      </c>
      <c r="E745" s="178"/>
      <c r="F745" s="176"/>
    </row>
    <row r="746" spans="1:6" x14ac:dyDescent="0.2">
      <c r="A746" s="176"/>
      <c r="B746" s="177"/>
      <c r="C746" s="176" t="s">
        <v>2822</v>
      </c>
      <c r="D746" s="176" t="str">
        <f>"Enfant 3 : nombre accident maison, jardin"</f>
        <v>Enfant 3 : nombre accident maison, jardin</v>
      </c>
      <c r="E746" s="178"/>
      <c r="F746" s="176"/>
    </row>
    <row r="747" spans="1:6" x14ac:dyDescent="0.2">
      <c r="A747" s="176"/>
      <c r="B747" s="177"/>
      <c r="C747" s="176" t="s">
        <v>2823</v>
      </c>
      <c r="D747" s="176" t="str">
        <f>"Enfant 1 : nombre accident sport, jeu"</f>
        <v>Enfant 1 : nombre accident sport, jeu</v>
      </c>
      <c r="E747" s="178"/>
      <c r="F747" s="176"/>
    </row>
    <row r="748" spans="1:6" x14ac:dyDescent="0.2">
      <c r="A748" s="176"/>
      <c r="B748" s="177"/>
      <c r="C748" s="176" t="s">
        <v>2824</v>
      </c>
      <c r="D748" s="176" t="str">
        <f>"Enfant 2 : nombre accident sport, jeu"</f>
        <v>Enfant 2 : nombre accident sport, jeu</v>
      </c>
      <c r="E748" s="178"/>
      <c r="F748" s="176"/>
    </row>
    <row r="749" spans="1:6" x14ac:dyDescent="0.2">
      <c r="A749" s="176"/>
      <c r="B749" s="177"/>
      <c r="C749" s="176" t="s">
        <v>2825</v>
      </c>
      <c r="D749" s="176" t="str">
        <f>"Enfant 3 : nombre accident sport, jeu"</f>
        <v>Enfant 3 : nombre accident sport, jeu</v>
      </c>
      <c r="E749" s="178"/>
      <c r="F749" s="176"/>
    </row>
    <row r="750" spans="1:6" x14ac:dyDescent="0.2">
      <c r="A750" s="176"/>
      <c r="B750" s="177"/>
      <c r="C750" s="176" t="s">
        <v>2826</v>
      </c>
      <c r="D750" s="176" t="str">
        <f>"Enfant 1 : nombre accident école"</f>
        <v>Enfant 1 : nombre accident école</v>
      </c>
      <c r="E750" s="178"/>
      <c r="F750" s="176"/>
    </row>
    <row r="751" spans="1:6" x14ac:dyDescent="0.2">
      <c r="A751" s="176"/>
      <c r="B751" s="177"/>
      <c r="C751" s="176" t="s">
        <v>2827</v>
      </c>
      <c r="D751" s="176" t="str">
        <f>"Enfant 2 : nombre accident école"</f>
        <v>Enfant 2 : nombre accident école</v>
      </c>
      <c r="E751" s="178"/>
      <c r="F751" s="176"/>
    </row>
    <row r="752" spans="1:6" x14ac:dyDescent="0.2">
      <c r="A752" s="176"/>
      <c r="B752" s="177"/>
      <c r="C752" s="176" t="s">
        <v>2828</v>
      </c>
      <c r="D752" s="176" t="str">
        <f>"Enfant 3 : nombre accident école"</f>
        <v>Enfant 3 : nombre accident école</v>
      </c>
      <c r="E752" s="178"/>
      <c r="F752" s="176"/>
    </row>
    <row r="753" spans="1:6" x14ac:dyDescent="0.2">
      <c r="A753" s="176"/>
      <c r="B753" s="177"/>
      <c r="C753" s="176" t="s">
        <v>2829</v>
      </c>
      <c r="D753" s="176" t="str">
        <f>"Enfant 1 : nombre accident circulation"</f>
        <v>Enfant 1 : nombre accident circulation</v>
      </c>
      <c r="E753" s="178"/>
      <c r="F753" s="176"/>
    </row>
    <row r="754" spans="1:6" x14ac:dyDescent="0.2">
      <c r="A754" s="176"/>
      <c r="B754" s="177"/>
      <c r="C754" s="176" t="s">
        <v>2830</v>
      </c>
      <c r="D754" s="176" t="str">
        <f>"Enfant 2 : nombre accident circulation"</f>
        <v>Enfant 2 : nombre accident circulation</v>
      </c>
      <c r="E754" s="178"/>
      <c r="F754" s="176"/>
    </row>
    <row r="755" spans="1:6" x14ac:dyDescent="0.2">
      <c r="A755" s="176"/>
      <c r="B755" s="177"/>
      <c r="C755" s="176" t="s">
        <v>2831</v>
      </c>
      <c r="D755" s="176" t="str">
        <f>"Enfant 3 : nombre accident circulation"</f>
        <v>Enfant 3 : nombre accident circulation</v>
      </c>
      <c r="E755" s="178"/>
      <c r="F755" s="176"/>
    </row>
    <row r="756" spans="1:6" x14ac:dyDescent="0.2">
      <c r="A756" s="176"/>
      <c r="B756" s="177"/>
      <c r="C756" s="176" t="s">
        <v>2832</v>
      </c>
      <c r="D756" s="176" t="str">
        <f>"Enfant 1 : nombre empoisonnement"</f>
        <v>Enfant 1 : nombre empoisonnement</v>
      </c>
      <c r="E756" s="178"/>
      <c r="F756" s="176"/>
    </row>
    <row r="757" spans="1:6" x14ac:dyDescent="0.2">
      <c r="A757" s="176"/>
      <c r="B757" s="177"/>
      <c r="C757" s="176" t="s">
        <v>2833</v>
      </c>
      <c r="D757" s="176" t="str">
        <f>"Enfant 2 : nombre empoisonnement"</f>
        <v>Enfant 2 : nombre empoisonnement</v>
      </c>
      <c r="E757" s="178"/>
      <c r="F757" s="176"/>
    </row>
    <row r="758" spans="1:6" x14ac:dyDescent="0.2">
      <c r="A758" s="176"/>
      <c r="B758" s="177"/>
      <c r="C758" s="176" t="s">
        <v>2834</v>
      </c>
      <c r="D758" s="176" t="str">
        <f>"Enfant 3 : nombre empoisonnement"</f>
        <v>Enfant 3 : nombre empoisonnement</v>
      </c>
      <c r="E758" s="178"/>
      <c r="F758" s="176"/>
    </row>
    <row r="759" spans="1:6" x14ac:dyDescent="0.2">
      <c r="A759" s="176"/>
      <c r="B759" s="177"/>
      <c r="C759" s="176" t="s">
        <v>2835</v>
      </c>
      <c r="D759" s="176" t="str">
        <f>"Enfant 1 : total accident(s)"</f>
        <v>Enfant 1 : total accident(s)</v>
      </c>
      <c r="E759" s="178"/>
      <c r="F759" s="176"/>
    </row>
    <row r="760" spans="1:6" x14ac:dyDescent="0.2">
      <c r="A760" s="176"/>
      <c r="B760" s="177"/>
      <c r="C760" s="176" t="s">
        <v>2836</v>
      </c>
      <c r="D760" s="176" t="str">
        <f>"Enfant 2 : total accident(s)"</f>
        <v>Enfant 2 : total accident(s)</v>
      </c>
      <c r="E760" s="178"/>
      <c r="F760" s="176"/>
    </row>
    <row r="761" spans="1:6" x14ac:dyDescent="0.2">
      <c r="A761" s="176"/>
      <c r="B761" s="177"/>
      <c r="C761" s="176" t="s">
        <v>2837</v>
      </c>
      <c r="D761" s="176" t="str">
        <f>"Enfant 3 : total accident(s)"</f>
        <v>Enfant 3 : total accident(s)</v>
      </c>
      <c r="E761" s="178"/>
      <c r="F761" s="176"/>
    </row>
    <row r="762" spans="1:6" x14ac:dyDescent="0.2">
      <c r="A762" s="176"/>
      <c r="B762" s="177"/>
      <c r="C762" s="176" t="s">
        <v>2838</v>
      </c>
      <c r="D762" s="176" t="str">
        <f>"Poids finaux données écrites"</f>
        <v>Poids finaux données écrites</v>
      </c>
      <c r="E762" s="178"/>
      <c r="F762" s="176"/>
    </row>
    <row r="763" spans="1:6" x14ac:dyDescent="0.2">
      <c r="A763" s="176"/>
      <c r="B763" s="177"/>
      <c r="C763" s="176" t="s">
        <v>2839</v>
      </c>
      <c r="D763" s="176" t="str">
        <f>"Poids finaux données écrites (canton)"</f>
        <v>Poids finaux données écrites (canton)</v>
      </c>
      <c r="E763" s="178"/>
      <c r="F763" s="176"/>
    </row>
    <row r="764" spans="1:6" x14ac:dyDescent="0.2">
      <c r="A764" s="176"/>
      <c r="B764" s="177"/>
      <c r="C764" s="176" t="s">
        <v>2840</v>
      </c>
      <c r="D764" s="176" t="str">
        <f>"Sexe"</f>
        <v>Sexe</v>
      </c>
      <c r="E764" s="179" t="s">
        <v>3261</v>
      </c>
      <c r="F764" s="176" t="s">
        <v>2350</v>
      </c>
    </row>
    <row r="765" spans="1:6" x14ac:dyDescent="0.2">
      <c r="A765" s="176"/>
      <c r="B765" s="177"/>
      <c r="C765" s="176"/>
      <c r="D765" s="176"/>
      <c r="E765" s="179" t="s">
        <v>3262</v>
      </c>
      <c r="F765" s="176"/>
    </row>
    <row r="766" spans="1:6" x14ac:dyDescent="0.2">
      <c r="A766" s="176"/>
      <c r="B766" s="177"/>
      <c r="C766" s="176"/>
      <c r="D766" s="176"/>
      <c r="E766" s="178" t="s">
        <v>3252</v>
      </c>
      <c r="F766" s="176"/>
    </row>
    <row r="767" spans="1:6" x14ac:dyDescent="0.2">
      <c r="A767" s="176"/>
      <c r="B767" s="177"/>
      <c r="C767" s="176" t="s">
        <v>2841</v>
      </c>
      <c r="D767" s="176" t="str">
        <f>"Importance de la santé (opinion)"</f>
        <v>Importance de la santé (opinion)</v>
      </c>
      <c r="E767" s="180" t="s">
        <v>3613</v>
      </c>
      <c r="F767" s="176" t="s">
        <v>2842</v>
      </c>
    </row>
    <row r="768" spans="1:6" x14ac:dyDescent="0.2">
      <c r="A768" s="176"/>
      <c r="B768" s="177"/>
      <c r="C768" s="176"/>
      <c r="D768" s="176"/>
      <c r="E768" s="180" t="s">
        <v>3614</v>
      </c>
      <c r="F768" s="176"/>
    </row>
    <row r="769" spans="1:6" x14ac:dyDescent="0.2">
      <c r="A769" s="176"/>
      <c r="B769" s="177"/>
      <c r="C769" s="176"/>
      <c r="D769" s="176"/>
      <c r="E769" s="180" t="s">
        <v>3615</v>
      </c>
      <c r="F769" s="176"/>
    </row>
    <row r="770" spans="1:6" x14ac:dyDescent="0.2">
      <c r="A770" s="176"/>
      <c r="B770" s="177"/>
      <c r="C770" s="176"/>
      <c r="D770" s="176"/>
      <c r="E770" s="181" t="s">
        <v>3628</v>
      </c>
      <c r="F770" s="176"/>
    </row>
    <row r="771" spans="1:6" x14ac:dyDescent="0.2">
      <c r="A771" s="176"/>
      <c r="B771" s="177"/>
      <c r="C771" s="176" t="s">
        <v>2843</v>
      </c>
      <c r="D771" s="176" t="str">
        <f>"Ne pas arriver à surmonter ses problèmes"</f>
        <v>Ne pas arriver à surmonter ses problèmes</v>
      </c>
      <c r="E771" s="179" t="s">
        <v>3616</v>
      </c>
      <c r="F771" s="176" t="s">
        <v>2844</v>
      </c>
    </row>
    <row r="772" spans="1:6" x14ac:dyDescent="0.2">
      <c r="A772" s="176"/>
      <c r="B772" s="177"/>
      <c r="C772" s="176" t="s">
        <v>2845</v>
      </c>
      <c r="D772" s="176" t="str">
        <f>"Impression d’être balloté dans tous les sens"</f>
        <v>Impression d’être balloté dans tous les sens</v>
      </c>
      <c r="E772" s="179" t="s">
        <v>3617</v>
      </c>
      <c r="F772" s="176"/>
    </row>
    <row r="773" spans="1:6" x14ac:dyDescent="0.2">
      <c r="A773" s="176"/>
      <c r="B773" s="177"/>
      <c r="C773" s="176" t="s">
        <v>2846</v>
      </c>
      <c r="D773" s="176" t="str">
        <f>"Sentiment de peu de contrôle sur les événements"</f>
        <v>Sentiment de peu de contrôle sur les événements</v>
      </c>
      <c r="E773" s="179" t="s">
        <v>3618</v>
      </c>
      <c r="F773" s="176"/>
    </row>
    <row r="774" spans="1:6" x14ac:dyDescent="0.2">
      <c r="A774" s="176"/>
      <c r="B774" s="177"/>
      <c r="C774" s="176" t="s">
        <v>2847</v>
      </c>
      <c r="D774" s="176" t="str">
        <f>"Se sentir submergé par les problèmes"</f>
        <v>Se sentir submergé par les problèmes</v>
      </c>
      <c r="E774" s="179" t="s">
        <v>3619</v>
      </c>
      <c r="F774" s="176"/>
    </row>
    <row r="775" spans="1:6" x14ac:dyDescent="0.2">
      <c r="A775" s="176"/>
      <c r="B775" s="177"/>
      <c r="C775" s="176"/>
      <c r="D775" s="176"/>
      <c r="E775" s="178" t="s">
        <v>3252</v>
      </c>
      <c r="F775" s="176"/>
    </row>
    <row r="776" spans="1:6" x14ac:dyDescent="0.2">
      <c r="A776" s="176"/>
      <c r="B776" s="177"/>
      <c r="C776" s="176" t="s">
        <v>2848</v>
      </c>
      <c r="D776" s="176" t="str">
        <f>"Traitement médical (12 mois) : diabète"</f>
        <v>Traitement médical (12 mois) : diabète</v>
      </c>
      <c r="E776" s="179" t="s">
        <v>3620</v>
      </c>
      <c r="F776" s="176" t="s">
        <v>2849</v>
      </c>
    </row>
    <row r="777" spans="1:6" x14ac:dyDescent="0.2">
      <c r="A777" s="176"/>
      <c r="B777" s="177"/>
      <c r="C777" s="176" t="s">
        <v>2850</v>
      </c>
      <c r="D777" s="176" t="str">
        <f>"Traitement médical (12 mois) : rhumatisme"</f>
        <v>Traitement médical (12 mois) : rhumatisme</v>
      </c>
      <c r="E777" s="179" t="s">
        <v>3621</v>
      </c>
      <c r="F777" s="176"/>
    </row>
    <row r="778" spans="1:6" x14ac:dyDescent="0.2">
      <c r="A778" s="176"/>
      <c r="B778" s="177"/>
      <c r="C778" s="176" t="s">
        <v>2851</v>
      </c>
      <c r="D778" s="176" t="str">
        <f>"Traitement médical (12 mois) : asthme"</f>
        <v>Traitement médical (12 mois) : asthme</v>
      </c>
      <c r="E778" s="179" t="s">
        <v>3622</v>
      </c>
      <c r="F778" s="176"/>
    </row>
    <row r="779" spans="1:6" x14ac:dyDescent="0.2">
      <c r="A779" s="176"/>
      <c r="B779" s="177"/>
      <c r="C779" s="176" t="s">
        <v>2852</v>
      </c>
      <c r="D779" s="176" t="str">
        <f>"Traitement médical (12 mois) : bronchite chronique"</f>
        <v>Traitement médical (12 mois) : bronchite chronique</v>
      </c>
      <c r="E779" s="178" t="s">
        <v>3252</v>
      </c>
      <c r="F779" s="176"/>
    </row>
    <row r="780" spans="1:6" x14ac:dyDescent="0.2">
      <c r="A780" s="176"/>
      <c r="B780" s="177"/>
      <c r="C780" s="176" t="s">
        <v>2853</v>
      </c>
      <c r="D780" s="176" t="str">
        <f>"Traitement médical (12 mois) : hypertension"</f>
        <v>Traitement médical (12 mois) : hypertension</v>
      </c>
      <c r="E780" s="178"/>
      <c r="F780" s="176"/>
    </row>
    <row r="781" spans="1:6" x14ac:dyDescent="0.2">
      <c r="A781" s="176"/>
      <c r="B781" s="177"/>
      <c r="C781" s="176" t="s">
        <v>2854</v>
      </c>
      <c r="D781" s="176" t="str">
        <f>"Traitement médical (12 mois) : infarctus du myocarde"</f>
        <v>Traitement médical (12 mois) : infarctus du myocarde</v>
      </c>
      <c r="E781" s="178"/>
      <c r="F781" s="176"/>
    </row>
    <row r="782" spans="1:6" x14ac:dyDescent="0.2">
      <c r="A782" s="176"/>
      <c r="B782" s="177"/>
      <c r="C782" s="176" t="s">
        <v>2855</v>
      </c>
      <c r="D782" s="176" t="str">
        <f>"Traitement médical (12 mois) : attaque"</f>
        <v>Traitement médical (12 mois) : attaque</v>
      </c>
      <c r="E782" s="178"/>
      <c r="F782" s="176"/>
    </row>
    <row r="783" spans="1:6" x14ac:dyDescent="0.2">
      <c r="A783" s="176"/>
      <c r="B783" s="177"/>
      <c r="C783" s="176" t="s">
        <v>2856</v>
      </c>
      <c r="D783" s="176" t="str">
        <f>"Traitement médical (12 mois) : calculs vésicule billiaire"</f>
        <v>Traitement médical (12 mois) : calculs vésicule billiaire</v>
      </c>
      <c r="E783" s="178"/>
      <c r="F783" s="176"/>
    </row>
    <row r="784" spans="1:6" x14ac:dyDescent="0.2">
      <c r="A784" s="176"/>
      <c r="B784" s="177"/>
      <c r="C784" s="176" t="s">
        <v>2857</v>
      </c>
      <c r="D784" s="176" t="str">
        <f>"Traitement médical (12 mois) : maladie des reins, calculs rénaux"</f>
        <v>Traitement médical (12 mois) : maladie des reins, calculs rénaux</v>
      </c>
      <c r="E784" s="178"/>
      <c r="F784" s="176"/>
    </row>
    <row r="785" spans="1:6" x14ac:dyDescent="0.2">
      <c r="A785" s="176"/>
      <c r="B785" s="177"/>
      <c r="C785" s="176" t="s">
        <v>2858</v>
      </c>
      <c r="D785" s="176" t="str">
        <f>"Traitement médical (12 mois) : cancer, tumeur"</f>
        <v>Traitement médical (12 mois) : cancer, tumeur</v>
      </c>
      <c r="E785" s="178"/>
      <c r="F785" s="176"/>
    </row>
    <row r="786" spans="1:6" x14ac:dyDescent="0.2">
      <c r="A786" s="176"/>
      <c r="B786" s="177"/>
      <c r="C786" s="176" t="s">
        <v>2859</v>
      </c>
      <c r="D786" s="176" t="str">
        <f>"Traitement médical (12 mois) : rhume des foins, allergies"</f>
        <v>Traitement médical (12 mois) : rhume des foins, allergies</v>
      </c>
      <c r="E786" s="178"/>
      <c r="F786" s="176"/>
    </row>
    <row r="787" spans="1:6" x14ac:dyDescent="0.2">
      <c r="A787" s="176"/>
      <c r="B787" s="177"/>
      <c r="C787" s="176" t="s">
        <v>2860</v>
      </c>
      <c r="D787" s="176" t="str">
        <f>"Traitement médical (12 mois) : dépression nerveuse"</f>
        <v>Traitement médical (12 mois) : dépression nerveuse</v>
      </c>
      <c r="E787" s="178"/>
      <c r="F787" s="176"/>
    </row>
    <row r="788" spans="1:6" x14ac:dyDescent="0.2">
      <c r="A788" s="176"/>
      <c r="B788" s="177"/>
      <c r="C788" s="176" t="s">
        <v>2861</v>
      </c>
      <c r="D788" s="176" t="str">
        <f>"Traitement médical (12 mois) : ulcère de l'estomac"</f>
        <v>Traitement médical (12 mois) : ulcère de l'estomac</v>
      </c>
      <c r="E788" s="178"/>
      <c r="F788" s="176"/>
    </row>
    <row r="789" spans="1:6" x14ac:dyDescent="0.2">
      <c r="A789" s="176"/>
      <c r="B789" s="177"/>
      <c r="C789" s="176" t="s">
        <v>2862</v>
      </c>
      <c r="D789" s="176" t="str">
        <f>"Accident de travail avec atteinte corporelle (12 mois)"</f>
        <v>Accident de travail avec atteinte corporelle (12 mois)</v>
      </c>
      <c r="E789" s="179" t="s">
        <v>3620</v>
      </c>
      <c r="F789" s="176" t="s">
        <v>2863</v>
      </c>
    </row>
    <row r="790" spans="1:6" x14ac:dyDescent="0.2">
      <c r="A790" s="176"/>
      <c r="B790" s="177"/>
      <c r="C790" s="176" t="s">
        <v>2864</v>
      </c>
      <c r="D790" s="176" t="str">
        <f>"Accident de la route avec atteinte corporelle (12 mois)"</f>
        <v>Accident de la route avec atteinte corporelle (12 mois)</v>
      </c>
      <c r="E790" s="179" t="s">
        <v>3623</v>
      </c>
      <c r="F790" s="176"/>
    </row>
    <row r="791" spans="1:6" x14ac:dyDescent="0.2">
      <c r="A791" s="176"/>
      <c r="B791" s="177"/>
      <c r="C791" s="176" t="s">
        <v>2865</v>
      </c>
      <c r="D791" s="176" t="str">
        <f>"Accident à la maison avec atteinte corporelle (12 mois)"</f>
        <v>Accident à la maison avec atteinte corporelle (12 mois)</v>
      </c>
      <c r="E791" s="179" t="s">
        <v>3624</v>
      </c>
      <c r="F791" s="176"/>
    </row>
    <row r="792" spans="1:6" x14ac:dyDescent="0.2">
      <c r="A792" s="176"/>
      <c r="B792" s="177"/>
      <c r="C792" s="176" t="s">
        <v>2866</v>
      </c>
      <c r="D792" s="176" t="str">
        <f>"Accident de sport avec atteinte corporelle (12 mois)"</f>
        <v>Accident de sport avec atteinte corporelle (12 mois)</v>
      </c>
      <c r="E792" s="179" t="s">
        <v>3625</v>
      </c>
      <c r="F792" s="176"/>
    </row>
    <row r="793" spans="1:6" x14ac:dyDescent="0.2">
      <c r="A793" s="176"/>
      <c r="B793" s="177"/>
      <c r="C793" s="176"/>
      <c r="D793" s="176"/>
      <c r="E793" s="178" t="s">
        <v>3252</v>
      </c>
      <c r="F793" s="176"/>
    </row>
    <row r="794" spans="1:6" x14ac:dyDescent="0.2">
      <c r="A794" s="176"/>
      <c r="B794" s="177"/>
      <c r="C794" s="176" t="s">
        <v>2867</v>
      </c>
      <c r="D794" s="176" t="str">
        <f>"Ablation des amygdales"</f>
        <v>Ablation des amygdales</v>
      </c>
      <c r="E794" s="179" t="s">
        <v>3274</v>
      </c>
      <c r="F794" s="176" t="s">
        <v>2368</v>
      </c>
    </row>
    <row r="795" spans="1:6" x14ac:dyDescent="0.2">
      <c r="A795" s="176"/>
      <c r="B795" s="177"/>
      <c r="C795" s="176" t="s">
        <v>2868</v>
      </c>
      <c r="D795" s="176" t="str">
        <f>"Ablation de l'appendice"</f>
        <v>Ablation de l'appendice</v>
      </c>
      <c r="E795" s="179" t="s">
        <v>3275</v>
      </c>
      <c r="F795" s="176"/>
    </row>
    <row r="796" spans="1:6" x14ac:dyDescent="0.2">
      <c r="A796" s="176"/>
      <c r="B796" s="177"/>
      <c r="C796" s="176" t="s">
        <v>2869</v>
      </c>
      <c r="D796" s="176" t="str">
        <f>"Opération de la hanche"</f>
        <v>Opération de la hanche</v>
      </c>
      <c r="E796" s="178" t="s">
        <v>3252</v>
      </c>
      <c r="F796" s="176"/>
    </row>
    <row r="797" spans="1:6" x14ac:dyDescent="0.2">
      <c r="A797" s="176"/>
      <c r="B797" s="177"/>
      <c r="C797" s="176" t="s">
        <v>2870</v>
      </c>
      <c r="D797" s="176" t="str">
        <f>"Opération de la vésicule"</f>
        <v>Opération de la vésicule</v>
      </c>
      <c r="E797" s="178"/>
      <c r="F797" s="176"/>
    </row>
    <row r="798" spans="1:6" x14ac:dyDescent="0.2">
      <c r="A798" s="176"/>
      <c r="B798" s="177"/>
      <c r="C798" s="176" t="s">
        <v>2871</v>
      </c>
      <c r="D798" s="176" t="str">
        <f>"Ablation de la matrice"</f>
        <v>Ablation de la matrice</v>
      </c>
      <c r="E798" s="178"/>
      <c r="F798" s="176"/>
    </row>
    <row r="799" spans="1:6" x14ac:dyDescent="0.2">
      <c r="A799" s="176"/>
      <c r="B799" s="177"/>
      <c r="C799" s="176" t="s">
        <v>2872</v>
      </c>
      <c r="D799" s="176" t="str">
        <f>"Consultation acupuncteur (12 mois) : diplôme médecine"</f>
        <v>Consultation acupuncteur (12 mois) : diplôme médecine</v>
      </c>
      <c r="E799" s="178"/>
      <c r="F799" s="176"/>
    </row>
    <row r="800" spans="1:6" x14ac:dyDescent="0.2">
      <c r="A800" s="176"/>
      <c r="B800" s="177"/>
      <c r="C800" s="176" t="s">
        <v>2873</v>
      </c>
      <c r="D800" s="176" t="str">
        <f>"Consultation homéopathe (12 mois) : diplôme médecine"</f>
        <v>Consultation homéopathe (12 mois) : diplôme médecine</v>
      </c>
      <c r="E800" s="178"/>
      <c r="F800" s="176"/>
    </row>
    <row r="801" spans="1:6" x14ac:dyDescent="0.2">
      <c r="A801" s="176"/>
      <c r="B801" s="177"/>
      <c r="C801" s="176" t="s">
        <v>2874</v>
      </c>
      <c r="D801" s="176" t="str">
        <f>"Consultation osthéopathe (12 mois) : diplôme médecine"</f>
        <v>Consultation osthéopathe (12 mois) : diplôme médecine</v>
      </c>
      <c r="E801" s="178"/>
      <c r="F801" s="176"/>
    </row>
    <row r="802" spans="1:6" x14ac:dyDescent="0.2">
      <c r="A802" s="176"/>
      <c r="B802" s="177"/>
      <c r="C802" s="176" t="s">
        <v>2875</v>
      </c>
      <c r="D802" s="176" t="str">
        <f>"Consultation hypnotiseur (12 mois) : diplôme médecine"</f>
        <v>Consultation hypnotiseur (12 mois) : diplôme médecine</v>
      </c>
      <c r="E802" s="178"/>
      <c r="F802" s="176"/>
    </row>
    <row r="803" spans="1:6" x14ac:dyDescent="0.2">
      <c r="A803" s="176"/>
      <c r="B803" s="177"/>
      <c r="C803" s="176" t="s">
        <v>2876</v>
      </c>
      <c r="D803" s="176" t="str">
        <f>"Perte, extraction de dents"</f>
        <v>Perte, extraction de dents</v>
      </c>
      <c r="E803" s="178"/>
      <c r="F803" s="176"/>
    </row>
    <row r="804" spans="1:6" x14ac:dyDescent="0.2">
      <c r="A804" s="176"/>
      <c r="B804" s="177"/>
      <c r="C804" s="176" t="s">
        <v>2877</v>
      </c>
      <c r="D804" s="176" t="str">
        <f>"Prothèse dentaire : couronnes"</f>
        <v>Prothèse dentaire : couronnes</v>
      </c>
      <c r="E804" s="178"/>
      <c r="F804" s="176"/>
    </row>
    <row r="805" spans="1:6" x14ac:dyDescent="0.2">
      <c r="A805" s="176"/>
      <c r="B805" s="177"/>
      <c r="C805" s="176" t="s">
        <v>2878</v>
      </c>
      <c r="D805" s="176" t="str">
        <f>"Prothèse dentaire : dents à pivot"</f>
        <v>Prothèse dentaire : dents à pivot</v>
      </c>
      <c r="E805" s="178"/>
      <c r="F805" s="176"/>
    </row>
    <row r="806" spans="1:6" x14ac:dyDescent="0.2">
      <c r="A806" s="176"/>
      <c r="B806" s="177"/>
      <c r="C806" s="176" t="s">
        <v>2879</v>
      </c>
      <c r="D806" s="176" t="str">
        <f>"Prothèse dentaire : bridge"</f>
        <v>Prothèse dentaire : bridge</v>
      </c>
      <c r="E806" s="178"/>
      <c r="F806" s="176"/>
    </row>
    <row r="807" spans="1:6" x14ac:dyDescent="0.2">
      <c r="A807" s="176"/>
      <c r="B807" s="177"/>
      <c r="C807" s="176" t="s">
        <v>2880</v>
      </c>
      <c r="D807" s="176" t="str">
        <f>"Prothèse dentaire : prothèse partielle supérieure"</f>
        <v>Prothèse dentaire : prothèse partielle supérieure</v>
      </c>
      <c r="E807" s="178"/>
      <c r="F807" s="176"/>
    </row>
    <row r="808" spans="1:6" x14ac:dyDescent="0.2">
      <c r="A808" s="176"/>
      <c r="B808" s="177"/>
      <c r="C808" s="176" t="s">
        <v>2881</v>
      </c>
      <c r="D808" s="176" t="str">
        <f>"Prothèse dentaire : prothèse partielle inférieure"</f>
        <v>Prothèse dentaire : prothèse partielle inférieure</v>
      </c>
      <c r="E808" s="178"/>
      <c r="F808" s="176"/>
    </row>
    <row r="809" spans="1:6" x14ac:dyDescent="0.2">
      <c r="A809" s="176"/>
      <c r="B809" s="177"/>
      <c r="C809" s="176" t="s">
        <v>2882</v>
      </c>
      <c r="D809" s="176" t="str">
        <f>"Prothèse dentaire : prothèse totale supérieure"</f>
        <v>Prothèse dentaire : prothèse totale supérieure</v>
      </c>
      <c r="E809" s="178"/>
      <c r="F809" s="176"/>
    </row>
    <row r="810" spans="1:6" x14ac:dyDescent="0.2">
      <c r="A810" s="176"/>
      <c r="B810" s="177"/>
      <c r="C810" s="176" t="s">
        <v>2883</v>
      </c>
      <c r="D810" s="176" t="str">
        <f>"Prothèse dentaire : prothèse totale inférieure"</f>
        <v>Prothèse dentaire : prothèse totale inférieure</v>
      </c>
      <c r="E810" s="178"/>
      <c r="F810" s="176"/>
    </row>
    <row r="811" spans="1:6" x14ac:dyDescent="0.2">
      <c r="A811" s="176"/>
      <c r="B811" s="177"/>
      <c r="C811" s="176" t="s">
        <v>2884</v>
      </c>
      <c r="D811" s="176" t="str">
        <f>"Bière (7 jours) : consommation"</f>
        <v>Bière (7 jours) : consommation</v>
      </c>
      <c r="E811" s="178"/>
      <c r="F811" s="176"/>
    </row>
    <row r="812" spans="1:6" x14ac:dyDescent="0.2">
      <c r="A812" s="176"/>
      <c r="B812" s="177"/>
      <c r="C812" s="176" t="s">
        <v>2885</v>
      </c>
      <c r="D812" s="176" t="str">
        <f>"Bière (12 mois) : consommation"</f>
        <v>Bière (12 mois) : consommation</v>
      </c>
      <c r="E812" s="178"/>
      <c r="F812" s="176"/>
    </row>
    <row r="813" spans="1:6" x14ac:dyDescent="0.2">
      <c r="A813" s="176"/>
      <c r="B813" s="177"/>
      <c r="C813" s="176" t="s">
        <v>2886</v>
      </c>
      <c r="D813" s="176" t="str">
        <f>"Vin (7 jours) : consommation"</f>
        <v>Vin (7 jours) : consommation</v>
      </c>
      <c r="E813" s="178"/>
      <c r="F813" s="176"/>
    </row>
    <row r="814" spans="1:6" x14ac:dyDescent="0.2">
      <c r="A814" s="176"/>
      <c r="B814" s="177"/>
      <c r="C814" s="176" t="s">
        <v>2887</v>
      </c>
      <c r="D814" s="176" t="str">
        <f>"Vin (12 mois) : consommation"</f>
        <v>Vin (12 mois) : consommation</v>
      </c>
      <c r="E814" s="178"/>
      <c r="F814" s="176"/>
    </row>
    <row r="815" spans="1:6" x14ac:dyDescent="0.2">
      <c r="A815" s="176"/>
      <c r="B815" s="177"/>
      <c r="C815" s="176" t="s">
        <v>2888</v>
      </c>
      <c r="D815" s="176" t="str">
        <f>"Cidre (7 jours) : consommation"</f>
        <v>Cidre (7 jours) : consommation</v>
      </c>
      <c r="E815" s="178"/>
      <c r="F815" s="176"/>
    </row>
    <row r="816" spans="1:6" x14ac:dyDescent="0.2">
      <c r="A816" s="176"/>
      <c r="B816" s="177"/>
      <c r="C816" s="176" t="s">
        <v>2889</v>
      </c>
      <c r="D816" s="176" t="str">
        <f>"Cidre (12 mois) : consommation"</f>
        <v>Cidre (12 mois) : consommation</v>
      </c>
      <c r="E816" s="178"/>
      <c r="F816" s="176"/>
    </row>
    <row r="817" spans="1:6" x14ac:dyDescent="0.2">
      <c r="A817" s="176"/>
      <c r="B817" s="177"/>
      <c r="C817" s="176" t="s">
        <v>2890</v>
      </c>
      <c r="D817" s="176" t="str">
        <f>"Spiritueux (7 jours) : consommation"</f>
        <v>Spiritueux (7 jours) : consommation</v>
      </c>
      <c r="E817" s="178"/>
      <c r="F817" s="176"/>
    </row>
    <row r="818" spans="1:6" x14ac:dyDescent="0.2">
      <c r="A818" s="176"/>
      <c r="B818" s="177"/>
      <c r="C818" s="176" t="s">
        <v>2891</v>
      </c>
      <c r="D818" s="176" t="str">
        <f>"Spiritueux (12 mois) : consommation"</f>
        <v>Spiritueux (12 mois) : consommation</v>
      </c>
      <c r="E818" s="178"/>
      <c r="F818" s="176"/>
    </row>
    <row r="819" spans="1:6" x14ac:dyDescent="0.2">
      <c r="A819" s="176"/>
      <c r="B819" s="177"/>
      <c r="C819" s="176" t="s">
        <v>2892</v>
      </c>
      <c r="D819" s="176" t="str">
        <f>"Alcool : pensé à diminuer la consommation"</f>
        <v>Alcool : pensé à diminuer la consommation</v>
      </c>
      <c r="E819" s="178"/>
      <c r="F819" s="176"/>
    </row>
    <row r="820" spans="1:6" x14ac:dyDescent="0.2">
      <c r="A820" s="176"/>
      <c r="B820" s="177"/>
      <c r="C820" s="176" t="s">
        <v>2893</v>
      </c>
      <c r="D820" s="176" t="str">
        <f>"Alcool : difficultés sociales"</f>
        <v>Alcool : difficultés sociales</v>
      </c>
      <c r="E820" s="178"/>
      <c r="F820" s="176"/>
    </row>
    <row r="821" spans="1:6" x14ac:dyDescent="0.2">
      <c r="A821" s="176"/>
      <c r="B821" s="177"/>
      <c r="C821" s="176" t="s">
        <v>2894</v>
      </c>
      <c r="D821" s="176" t="str">
        <f>"Utilisation moyen contraception"</f>
        <v>Utilisation moyen contraception</v>
      </c>
      <c r="E821" s="178"/>
      <c r="F821" s="176"/>
    </row>
    <row r="822" spans="1:6" x14ac:dyDescent="0.2">
      <c r="A822" s="176"/>
      <c r="B822" s="177"/>
      <c r="C822" s="176" t="s">
        <v>2895</v>
      </c>
      <c r="D822" s="176" t="str">
        <f>"Contraception : pilule"</f>
        <v>Contraception : pilule</v>
      </c>
      <c r="E822" s="178"/>
      <c r="F822" s="176"/>
    </row>
    <row r="823" spans="1:6" x14ac:dyDescent="0.2">
      <c r="A823" s="176"/>
      <c r="B823" s="177"/>
      <c r="C823" s="176" t="s">
        <v>2896</v>
      </c>
      <c r="D823" s="176" t="str">
        <f>"Contraception : stérilet"</f>
        <v>Contraception : stérilet</v>
      </c>
      <c r="E823" s="178"/>
      <c r="F823" s="176"/>
    </row>
    <row r="824" spans="1:6" x14ac:dyDescent="0.2">
      <c r="A824" s="176"/>
      <c r="B824" s="177"/>
      <c r="C824" s="176" t="s">
        <v>2897</v>
      </c>
      <c r="D824" s="176" t="str">
        <f>"Contraception : préservatif"</f>
        <v>Contraception : préservatif</v>
      </c>
      <c r="E824" s="178"/>
      <c r="F824" s="176"/>
    </row>
    <row r="825" spans="1:6" x14ac:dyDescent="0.2">
      <c r="A825" s="176"/>
      <c r="B825" s="177"/>
      <c r="C825" s="176" t="s">
        <v>2898</v>
      </c>
      <c r="D825" s="176" t="str">
        <f>"Contraception : stérilisation, ligature"</f>
        <v>Contraception : stérilisation, ligature</v>
      </c>
      <c r="E825" s="178"/>
      <c r="F825" s="176"/>
    </row>
    <row r="826" spans="1:6" x14ac:dyDescent="0.2">
      <c r="A826" s="176"/>
      <c r="B826" s="177"/>
      <c r="C826" s="176" t="s">
        <v>2899</v>
      </c>
      <c r="D826" s="176" t="str">
        <f>"Contraception : autre"</f>
        <v>Contraception : autre</v>
      </c>
      <c r="E826" s="178"/>
      <c r="F826" s="176"/>
    </row>
    <row r="827" spans="1:6" x14ac:dyDescent="0.2">
      <c r="A827" s="176"/>
      <c r="B827" s="177"/>
      <c r="C827" s="176" t="s">
        <v>2900</v>
      </c>
      <c r="D827" s="176" t="str">
        <f>"Indépendants : assurance perte de gain"</f>
        <v>Indépendants : assurance perte de gain</v>
      </c>
      <c r="E827" s="178"/>
      <c r="F827" s="176"/>
    </row>
    <row r="828" spans="1:6" x14ac:dyDescent="0.2">
      <c r="A828" s="176"/>
      <c r="B828" s="177"/>
      <c r="C828" s="176" t="s">
        <v>2901</v>
      </c>
      <c r="D828" s="176" t="str">
        <f>"Douleurs, crampes pectorales"</f>
        <v>Douleurs, crampes pectorales</v>
      </c>
      <c r="E828" s="178"/>
      <c r="F828" s="176"/>
    </row>
    <row r="829" spans="1:6" x14ac:dyDescent="0.2">
      <c r="A829" s="176"/>
      <c r="B829" s="177"/>
      <c r="C829" s="176" t="s">
        <v>2902</v>
      </c>
      <c r="D829" s="176" t="str">
        <f>"Douleurs, crampes pectorales : apparaît en marche normale"</f>
        <v>Douleurs, crampes pectorales : apparaît en marche normale</v>
      </c>
      <c r="E829" s="178"/>
      <c r="F829" s="176"/>
    </row>
    <row r="830" spans="1:6" x14ac:dyDescent="0.2">
      <c r="A830" s="176"/>
      <c r="B830" s="177"/>
      <c r="C830" s="176" t="s">
        <v>2903</v>
      </c>
      <c r="D830" s="176" t="str">
        <f>"Douleurs, crampes pectorales : apparaît en marche rapide ou en montée"</f>
        <v>Douleurs, crampes pectorales : apparaît en marche rapide ou en montée</v>
      </c>
      <c r="E830" s="178"/>
      <c r="F830" s="176"/>
    </row>
    <row r="831" spans="1:6" x14ac:dyDescent="0.2">
      <c r="A831" s="176"/>
      <c r="B831" s="177"/>
      <c r="C831" s="176" t="s">
        <v>2904</v>
      </c>
      <c r="D831" s="176" t="str">
        <f>"Douleurs, crampes pectorales : disparaît en restant tranquille"</f>
        <v>Douleurs, crampes pectorales : disparaît en restant tranquille</v>
      </c>
      <c r="E831" s="178"/>
      <c r="F831" s="176"/>
    </row>
    <row r="832" spans="1:6" x14ac:dyDescent="0.2">
      <c r="A832" s="176"/>
      <c r="B832" s="177"/>
      <c r="C832" s="176" t="s">
        <v>2905</v>
      </c>
      <c r="D832" s="176" t="str">
        <f>"Enfant 1 : handicap"</f>
        <v>Enfant 1 : handicap</v>
      </c>
      <c r="E832" s="178"/>
      <c r="F832" s="176"/>
    </row>
    <row r="833" spans="1:6" x14ac:dyDescent="0.2">
      <c r="A833" s="176"/>
      <c r="B833" s="177"/>
      <c r="C833" s="176" t="s">
        <v>2906</v>
      </c>
      <c r="D833" s="176" t="str">
        <f>"Enfant 2 : handicap"</f>
        <v>Enfant 2 : handicap</v>
      </c>
      <c r="E833" s="178"/>
      <c r="F833" s="176"/>
    </row>
    <row r="834" spans="1:6" x14ac:dyDescent="0.2">
      <c r="A834" s="176"/>
      <c r="B834" s="177"/>
      <c r="C834" s="176" t="s">
        <v>2907</v>
      </c>
      <c r="D834" s="176" t="str">
        <f>"Enfant 3 : handicap"</f>
        <v>Enfant 3 : handicap</v>
      </c>
      <c r="E834" s="178"/>
      <c r="F834" s="176"/>
    </row>
    <row r="835" spans="1:6" x14ac:dyDescent="0.2">
      <c r="A835" s="176"/>
      <c r="B835" s="177"/>
      <c r="C835" s="176" t="s">
        <v>2908</v>
      </c>
      <c r="D835" s="176" t="str">
        <f>"Enfant(s) de &lt;15 ans dans le ménage"</f>
        <v>Enfant(s) de &lt;15 ans dans le ménage</v>
      </c>
      <c r="E835" s="178"/>
      <c r="F835" s="176"/>
    </row>
    <row r="836" spans="1:6" x14ac:dyDescent="0.2">
      <c r="A836" s="176"/>
      <c r="B836" s="177"/>
      <c r="C836" s="176" t="s">
        <v>2909</v>
      </c>
      <c r="D836" s="176" t="str">
        <f>"Alcool : fréquence consommation habituelle"</f>
        <v>Alcool : fréquence consommation habituelle</v>
      </c>
      <c r="E836" s="179" t="s">
        <v>3626</v>
      </c>
      <c r="F836" s="176" t="s">
        <v>2592</v>
      </c>
    </row>
    <row r="837" spans="1:6" x14ac:dyDescent="0.2">
      <c r="A837" s="176"/>
      <c r="B837" s="177"/>
      <c r="C837" s="176"/>
      <c r="D837" s="176"/>
      <c r="E837" s="179" t="s">
        <v>3627</v>
      </c>
      <c r="F837" s="176"/>
    </row>
    <row r="838" spans="1:6" x14ac:dyDescent="0.2">
      <c r="A838" s="176"/>
      <c r="B838" s="177"/>
      <c r="C838" s="176"/>
      <c r="D838" s="176"/>
      <c r="E838" s="179" t="s">
        <v>3362</v>
      </c>
      <c r="F838" s="176"/>
    </row>
    <row r="839" spans="1:6" ht="15" x14ac:dyDescent="0.25">
      <c r="A839" s="176"/>
      <c r="B839" s="177"/>
      <c r="C839" s="176"/>
      <c r="D839" s="182"/>
      <c r="E839" s="179" t="s">
        <v>3363</v>
      </c>
      <c r="F839" s="176"/>
    </row>
    <row r="840" spans="1:6" ht="15" x14ac:dyDescent="0.25">
      <c r="A840" s="176"/>
      <c r="B840" s="177"/>
      <c r="C840" s="176"/>
      <c r="D840" s="182"/>
      <c r="E840" s="179" t="s">
        <v>3629</v>
      </c>
      <c r="F840" s="176"/>
    </row>
    <row r="841" spans="1:6" ht="15" x14ac:dyDescent="0.25">
      <c r="A841" s="176"/>
      <c r="B841" s="177"/>
      <c r="C841" s="176"/>
      <c r="D841" s="182"/>
      <c r="E841" s="179" t="s">
        <v>3630</v>
      </c>
      <c r="F841" s="176"/>
    </row>
    <row r="842" spans="1:6" ht="15" x14ac:dyDescent="0.25">
      <c r="A842" s="176"/>
      <c r="B842" s="177"/>
      <c r="C842" s="176"/>
      <c r="D842" s="182"/>
      <c r="E842" s="179" t="s">
        <v>3631</v>
      </c>
      <c r="F842" s="176"/>
    </row>
    <row r="843" spans="1:6" ht="15" x14ac:dyDescent="0.25">
      <c r="A843" s="176"/>
      <c r="B843" s="177"/>
      <c r="C843" s="176"/>
      <c r="D843" s="182"/>
      <c r="E843" s="178" t="s">
        <v>3252</v>
      </c>
      <c r="F843" s="176"/>
    </row>
    <row r="844" spans="1:6" x14ac:dyDescent="0.2">
      <c r="A844" s="176"/>
      <c r="B844" s="177"/>
      <c r="C844" s="176" t="s">
        <v>2910</v>
      </c>
      <c r="D844" s="176" t="str">
        <f>"Bière (7 jours) : fréquence"</f>
        <v>Bière (7 jours) : fréquence</v>
      </c>
      <c r="E844" s="179" t="s">
        <v>3632</v>
      </c>
      <c r="F844" s="176" t="s">
        <v>2911</v>
      </c>
    </row>
    <row r="845" spans="1:6" x14ac:dyDescent="0.2">
      <c r="A845" s="176"/>
      <c r="B845" s="177"/>
      <c r="C845" s="176" t="s">
        <v>2912</v>
      </c>
      <c r="D845" s="176" t="str">
        <f>"Vin (7 jours) : fréquence"</f>
        <v>Vin (7 jours) : fréquence</v>
      </c>
      <c r="E845" s="179" t="s">
        <v>3633</v>
      </c>
      <c r="F845" s="176"/>
    </row>
    <row r="846" spans="1:6" x14ac:dyDescent="0.2">
      <c r="A846" s="176"/>
      <c r="B846" s="177"/>
      <c r="C846" s="176" t="s">
        <v>2913</v>
      </c>
      <c r="D846" s="176" t="str">
        <f>"Cidre (7 jours) : fréquence"</f>
        <v>Cidre (7 jours) : fréquence</v>
      </c>
      <c r="E846" s="179" t="s">
        <v>3362</v>
      </c>
      <c r="F846" s="176"/>
    </row>
    <row r="847" spans="1:6" x14ac:dyDescent="0.2">
      <c r="A847" s="176"/>
      <c r="B847" s="177"/>
      <c r="C847" s="176" t="s">
        <v>2914</v>
      </c>
      <c r="D847" s="176" t="str">
        <f>"Spiritueux (7 jours) : fréquence"</f>
        <v>Spiritueux (7 jours) : fréquence</v>
      </c>
      <c r="E847" s="179" t="s">
        <v>3634</v>
      </c>
      <c r="F847" s="176"/>
    </row>
    <row r="848" spans="1:6" ht="15" x14ac:dyDescent="0.25">
      <c r="A848" s="176"/>
      <c r="B848" s="177"/>
      <c r="C848" s="176"/>
      <c r="D848" s="182"/>
      <c r="E848" s="179" t="s">
        <v>3635</v>
      </c>
      <c r="F848" s="176"/>
    </row>
    <row r="849" spans="1:6" ht="15" x14ac:dyDescent="0.25">
      <c r="A849" s="176"/>
      <c r="B849" s="177"/>
      <c r="C849" s="176"/>
      <c r="D849" s="182"/>
      <c r="E849" s="179" t="s">
        <v>3636</v>
      </c>
      <c r="F849" s="176"/>
    </row>
    <row r="850" spans="1:6" ht="15" x14ac:dyDescent="0.25">
      <c r="A850" s="176"/>
      <c r="B850" s="177"/>
      <c r="C850" s="176"/>
      <c r="D850" s="182"/>
      <c r="E850" s="178" t="s">
        <v>3252</v>
      </c>
      <c r="F850" s="176"/>
    </row>
    <row r="851" spans="1:6" x14ac:dyDescent="0.2">
      <c r="A851" s="176"/>
      <c r="B851" s="177"/>
      <c r="C851" s="176" t="s">
        <v>2915</v>
      </c>
      <c r="D851" s="176" t="str">
        <f>"Bière (7 jours) : quantité"</f>
        <v>Bière (7 jours) : quantité</v>
      </c>
      <c r="E851" s="179" t="s">
        <v>3637</v>
      </c>
      <c r="F851" s="176" t="s">
        <v>2916</v>
      </c>
    </row>
    <row r="852" spans="1:6" x14ac:dyDescent="0.2">
      <c r="A852" s="176"/>
      <c r="B852" s="177"/>
      <c r="C852" s="176" t="s">
        <v>2917</v>
      </c>
      <c r="D852" s="176" t="str">
        <f>"Bière (12 mois) : quantité"</f>
        <v>Bière (12 mois) : quantité</v>
      </c>
      <c r="E852" s="179" t="s">
        <v>3638</v>
      </c>
      <c r="F852" s="176"/>
    </row>
    <row r="853" spans="1:6" ht="15" x14ac:dyDescent="0.25">
      <c r="A853" s="176"/>
      <c r="B853" s="177"/>
      <c r="C853" s="176"/>
      <c r="D853" s="182"/>
      <c r="E853" s="179" t="s">
        <v>3639</v>
      </c>
      <c r="F853" s="176"/>
    </row>
    <row r="854" spans="1:6" ht="15" x14ac:dyDescent="0.25">
      <c r="A854" s="176"/>
      <c r="B854" s="177"/>
      <c r="C854" s="176"/>
      <c r="D854" s="182"/>
      <c r="E854" s="178" t="s">
        <v>3252</v>
      </c>
      <c r="F854" s="176"/>
    </row>
    <row r="855" spans="1:6" x14ac:dyDescent="0.2">
      <c r="A855" s="176"/>
      <c r="B855" s="177"/>
      <c r="C855" s="176" t="s">
        <v>2918</v>
      </c>
      <c r="D855" s="176" t="str">
        <f>"Bière (12 mois) : fréquence"</f>
        <v>Bière (12 mois) : fréquence</v>
      </c>
      <c r="E855" s="179" t="s">
        <v>3640</v>
      </c>
      <c r="F855" s="176" t="s">
        <v>2919</v>
      </c>
    </row>
    <row r="856" spans="1:6" x14ac:dyDescent="0.2">
      <c r="A856" s="176"/>
      <c r="B856" s="177"/>
      <c r="C856" s="176" t="s">
        <v>2920</v>
      </c>
      <c r="D856" s="176" t="str">
        <f>"Vin (12 mois) : fréquence"</f>
        <v>Vin (12 mois) : fréquence</v>
      </c>
      <c r="E856" s="179" t="s">
        <v>3641</v>
      </c>
      <c r="F856" s="176"/>
    </row>
    <row r="857" spans="1:6" x14ac:dyDescent="0.2">
      <c r="A857" s="176"/>
      <c r="B857" s="177"/>
      <c r="C857" s="176" t="s">
        <v>2921</v>
      </c>
      <c r="D857" s="176" t="str">
        <f>"Cidre (12 mois) : fréquence"</f>
        <v>Cidre (12 mois) : fréquence</v>
      </c>
      <c r="E857" s="179" t="s">
        <v>3448</v>
      </c>
      <c r="F857" s="176"/>
    </row>
    <row r="858" spans="1:6" x14ac:dyDescent="0.2">
      <c r="A858" s="176"/>
      <c r="B858" s="177"/>
      <c r="C858" s="176" t="s">
        <v>2922</v>
      </c>
      <c r="D858" s="176" t="str">
        <f>"Spiritueux (12 mois) : fréquence"</f>
        <v>Spiritueux (12 mois) : fréquence</v>
      </c>
      <c r="E858" s="179" t="s">
        <v>3642</v>
      </c>
      <c r="F858" s="176"/>
    </row>
    <row r="859" spans="1:6" ht="15" x14ac:dyDescent="0.25">
      <c r="A859" s="176"/>
      <c r="B859" s="177"/>
      <c r="C859" s="176"/>
      <c r="D859" s="182"/>
      <c r="E859" s="178" t="s">
        <v>3252</v>
      </c>
      <c r="F859" s="176"/>
    </row>
    <row r="860" spans="1:6" x14ac:dyDescent="0.2">
      <c r="A860" s="176"/>
      <c r="B860" s="177"/>
      <c r="C860" s="176" t="s">
        <v>2923</v>
      </c>
      <c r="D860" s="176" t="str">
        <f>"Bière : consommation habituelle représentative"</f>
        <v>Bière : consommation habituelle représentative</v>
      </c>
      <c r="E860" s="179" t="s">
        <v>3643</v>
      </c>
      <c r="F860" s="176" t="s">
        <v>2924</v>
      </c>
    </row>
    <row r="861" spans="1:6" x14ac:dyDescent="0.2">
      <c r="A861" s="176"/>
      <c r="B861" s="177"/>
      <c r="C861" s="176" t="s">
        <v>2925</v>
      </c>
      <c r="D861" s="176" t="str">
        <f>"Vin : consommation habituelle représentative"</f>
        <v>Vin : consommation habituelle représentative</v>
      </c>
      <c r="E861" s="179" t="s">
        <v>3644</v>
      </c>
      <c r="F861" s="176"/>
    </row>
    <row r="862" spans="1:6" x14ac:dyDescent="0.2">
      <c r="A862" s="176"/>
      <c r="B862" s="177"/>
      <c r="C862" s="176" t="s">
        <v>2926</v>
      </c>
      <c r="D862" s="176" t="str">
        <f>"Cidre : consommation habituelle représentative"</f>
        <v>Cidre : consommation habituelle représentative</v>
      </c>
      <c r="E862" s="179" t="s">
        <v>3645</v>
      </c>
      <c r="F862" s="176"/>
    </row>
    <row r="863" spans="1:6" x14ac:dyDescent="0.2">
      <c r="A863" s="176"/>
      <c r="B863" s="177"/>
      <c r="C863" s="176" t="s">
        <v>2927</v>
      </c>
      <c r="D863" s="176" t="str">
        <f>"Spiritueux : consommation habituelle représentative"</f>
        <v>Spiritueux : consommation habituelle représentative</v>
      </c>
      <c r="E863" s="178" t="s">
        <v>3252</v>
      </c>
      <c r="F863" s="176"/>
    </row>
    <row r="864" spans="1:6" x14ac:dyDescent="0.2">
      <c r="A864" s="176"/>
      <c r="B864" s="177"/>
      <c r="C864" s="176" t="s">
        <v>2928</v>
      </c>
      <c r="D864" s="176" t="str">
        <f>"Vin (7 jours) : quantité"</f>
        <v>Vin (7 jours) : quantité</v>
      </c>
      <c r="E864" s="179" t="s">
        <v>3646</v>
      </c>
      <c r="F864" s="176" t="s">
        <v>2929</v>
      </c>
    </row>
    <row r="865" spans="1:6" x14ac:dyDescent="0.2">
      <c r="A865" s="176"/>
      <c r="B865" s="177"/>
      <c r="C865" s="176" t="s">
        <v>2930</v>
      </c>
      <c r="D865" s="176" t="str">
        <f>"Vin (12 mois) : quantité"</f>
        <v>Vin (12 mois) : quantité</v>
      </c>
      <c r="E865" s="179" t="s">
        <v>3647</v>
      </c>
      <c r="F865" s="176"/>
    </row>
    <row r="866" spans="1:6" ht="15" x14ac:dyDescent="0.25">
      <c r="A866" s="176"/>
      <c r="B866" s="177"/>
      <c r="C866" s="176"/>
      <c r="D866" s="182"/>
      <c r="E866" s="179" t="s">
        <v>3648</v>
      </c>
      <c r="F866" s="176"/>
    </row>
    <row r="867" spans="1:6" ht="15" x14ac:dyDescent="0.25">
      <c r="A867" s="176"/>
      <c r="B867" s="177"/>
      <c r="C867" s="176"/>
      <c r="D867" s="182"/>
      <c r="E867" s="178" t="s">
        <v>3252</v>
      </c>
      <c r="F867" s="176"/>
    </row>
    <row r="868" spans="1:6" x14ac:dyDescent="0.2">
      <c r="A868" s="176"/>
      <c r="B868" s="177"/>
      <c r="C868" s="176" t="s">
        <v>2931</v>
      </c>
      <c r="D868" s="176" t="str">
        <f>"Cidre (7 jours) : quantité"</f>
        <v>Cidre (7 jours) : quantité</v>
      </c>
      <c r="E868" s="179" t="s">
        <v>3649</v>
      </c>
      <c r="F868" s="176" t="s">
        <v>2932</v>
      </c>
    </row>
    <row r="869" spans="1:6" x14ac:dyDescent="0.2">
      <c r="A869" s="176"/>
      <c r="B869" s="177"/>
      <c r="C869" s="176" t="s">
        <v>2933</v>
      </c>
      <c r="D869" s="176" t="str">
        <f>"Cidre (12 mois) : quantité"</f>
        <v>Cidre (12 mois) : quantité</v>
      </c>
      <c r="E869" s="179" t="s">
        <v>3650</v>
      </c>
      <c r="F869" s="176"/>
    </row>
    <row r="870" spans="1:6" ht="15" x14ac:dyDescent="0.25">
      <c r="A870" s="176"/>
      <c r="B870" s="177"/>
      <c r="C870" s="176"/>
      <c r="D870" s="182"/>
      <c r="E870" s="179" t="s">
        <v>3651</v>
      </c>
      <c r="F870" s="176"/>
    </row>
    <row r="871" spans="1:6" ht="15" x14ac:dyDescent="0.25">
      <c r="A871" s="176"/>
      <c r="B871" s="177"/>
      <c r="C871" s="176"/>
      <c r="D871" s="182"/>
      <c r="E871" s="178" t="s">
        <v>3252</v>
      </c>
      <c r="F871" s="176"/>
    </row>
    <row r="872" spans="1:6" x14ac:dyDescent="0.2">
      <c r="A872" s="176"/>
      <c r="B872" s="177"/>
      <c r="C872" s="176" t="s">
        <v>2934</v>
      </c>
      <c r="D872" s="176" t="str">
        <f>"Spiritueux (7 jours) : quantité"</f>
        <v>Spiritueux (7 jours) : quantité</v>
      </c>
      <c r="E872" s="179" t="s">
        <v>3652</v>
      </c>
      <c r="F872" s="176" t="s">
        <v>2935</v>
      </c>
    </row>
    <row r="873" spans="1:6" x14ac:dyDescent="0.2">
      <c r="A873" s="176"/>
      <c r="B873" s="177"/>
      <c r="C873" s="176" t="s">
        <v>2936</v>
      </c>
      <c r="D873" s="176" t="str">
        <f>"Spiritueux (12 mois) : quantité"</f>
        <v>Spiritueux (12 mois) : quantité</v>
      </c>
      <c r="E873" s="179" t="s">
        <v>3653</v>
      </c>
      <c r="F873" s="176"/>
    </row>
    <row r="874" spans="1:6" ht="15" x14ac:dyDescent="0.25">
      <c r="A874" s="176"/>
      <c r="B874" s="177"/>
      <c r="C874" s="176"/>
      <c r="D874" s="182"/>
      <c r="E874" s="179" t="s">
        <v>3654</v>
      </c>
      <c r="F874" s="176"/>
    </row>
    <row r="875" spans="1:6" ht="15" x14ac:dyDescent="0.25">
      <c r="A875" s="176"/>
      <c r="B875" s="177"/>
      <c r="C875" s="176"/>
      <c r="D875" s="182"/>
      <c r="E875" s="178" t="s">
        <v>3252</v>
      </c>
      <c r="F875" s="176"/>
    </row>
    <row r="876" spans="1:6" x14ac:dyDescent="0.2">
      <c r="A876" s="176"/>
      <c r="B876" s="177"/>
      <c r="C876" s="176" t="s">
        <v>2937</v>
      </c>
      <c r="D876" s="176" t="str">
        <f>"Alcool : impression que ne fait pas du bien"</f>
        <v>Alcool : impression que ne fait pas du bien</v>
      </c>
      <c r="E876" s="179" t="s">
        <v>3655</v>
      </c>
      <c r="F876" s="176" t="s">
        <v>2938</v>
      </c>
    </row>
    <row r="877" spans="1:6" x14ac:dyDescent="0.2">
      <c r="A877" s="176"/>
      <c r="B877" s="177"/>
      <c r="C877" s="176" t="s">
        <v>2939</v>
      </c>
      <c r="D877" s="176" t="str">
        <f>"Alcool : bu plus que voulu"</f>
        <v>Alcool : bu plus que voulu</v>
      </c>
      <c r="E877" s="179" t="s">
        <v>3656</v>
      </c>
      <c r="F877" s="176"/>
    </row>
    <row r="878" spans="1:6" x14ac:dyDescent="0.2">
      <c r="A878" s="176"/>
      <c r="B878" s="177"/>
      <c r="C878" s="176" t="s">
        <v>2940</v>
      </c>
      <c r="D878" s="176" t="str">
        <f>"Alcool : réserve de tiers sur consommation"</f>
        <v>Alcool : réserve de tiers sur consommation</v>
      </c>
      <c r="E878" s="179" t="s">
        <v>3456</v>
      </c>
      <c r="F878" s="176"/>
    </row>
    <row r="879" spans="1:6" ht="15" x14ac:dyDescent="0.25">
      <c r="A879" s="176"/>
      <c r="B879" s="177"/>
      <c r="C879" s="176"/>
      <c r="D879" s="182"/>
      <c r="E879" s="178" t="s">
        <v>3252</v>
      </c>
      <c r="F879" s="176"/>
    </row>
    <row r="880" spans="1:6" x14ac:dyDescent="0.2">
      <c r="A880" s="176"/>
      <c r="B880" s="177"/>
      <c r="C880" s="176" t="s">
        <v>2941</v>
      </c>
      <c r="D880" s="176" t="str">
        <f>"Alimentation saine: achats et préparation prennent du temps"</f>
        <v>Alimentation saine: achats et préparation prennent du temps</v>
      </c>
      <c r="E880" s="179" t="s">
        <v>3657</v>
      </c>
      <c r="F880" s="176" t="s">
        <v>2942</v>
      </c>
    </row>
    <row r="881" spans="1:6" x14ac:dyDescent="0.2">
      <c r="A881" s="176"/>
      <c r="B881" s="177"/>
      <c r="C881" s="176" t="s">
        <v>2943</v>
      </c>
      <c r="D881" s="176" t="str">
        <f>"Alimentation saine: offre des magasins trop restreinte"</f>
        <v>Alimentation saine: offre des magasins trop restreinte</v>
      </c>
      <c r="E881" s="179" t="s">
        <v>3658</v>
      </c>
      <c r="F881" s="176"/>
    </row>
    <row r="882" spans="1:6" x14ac:dyDescent="0.2">
      <c r="A882" s="176"/>
      <c r="B882" s="177"/>
      <c r="C882" s="176" t="s">
        <v>2944</v>
      </c>
      <c r="D882" s="176" t="str">
        <f>"Alimentation saine: offre des restaurants trop restreinte"</f>
        <v>Alimentation saine: offre des restaurants trop restreinte</v>
      </c>
      <c r="E882" s="178" t="s">
        <v>3252</v>
      </c>
      <c r="F882" s="176"/>
    </row>
    <row r="883" spans="1:6" x14ac:dyDescent="0.2">
      <c r="A883" s="176"/>
      <c r="B883" s="177"/>
      <c r="C883" s="176" t="s">
        <v>2945</v>
      </c>
      <c r="D883" s="176" t="str">
        <f>"Alimentation saine: alimentation saine est chère"</f>
        <v>Alimentation saine: alimentation saine est chère</v>
      </c>
      <c r="E883" s="178"/>
      <c r="F883" s="176"/>
    </row>
    <row r="884" spans="1:6" x14ac:dyDescent="0.2">
      <c r="A884" s="176"/>
      <c r="B884" s="177"/>
      <c r="C884" s="176" t="s">
        <v>2946</v>
      </c>
      <c r="D884" s="176" t="str">
        <f>"Alimentation saine: manque de soutien dans entourage"</f>
        <v>Alimentation saine: manque de soutien dans entourage</v>
      </c>
      <c r="E884" s="178"/>
      <c r="F884" s="176"/>
    </row>
    <row r="885" spans="1:6" x14ac:dyDescent="0.2">
      <c r="A885" s="176"/>
      <c r="B885" s="177"/>
      <c r="C885" s="176" t="s">
        <v>2947</v>
      </c>
      <c r="D885" s="176" t="str">
        <f>"Alimentation saine: entourage fait opposition"</f>
        <v>Alimentation saine: entourage fait opposition</v>
      </c>
      <c r="E885" s="178"/>
      <c r="F885" s="176"/>
    </row>
    <row r="886" spans="1:6" x14ac:dyDescent="0.2">
      <c r="A886" s="176"/>
      <c r="B886" s="177"/>
      <c r="C886" s="176" t="s">
        <v>2948</v>
      </c>
      <c r="D886" s="176" t="str">
        <f>"Alimentation saine: aimer bien manger"</f>
        <v>Alimentation saine: aimer bien manger</v>
      </c>
      <c r="E886" s="178"/>
      <c r="F886" s="176"/>
    </row>
    <row r="887" spans="1:6" x14ac:dyDescent="0.2">
      <c r="A887" s="176"/>
      <c r="B887" s="177"/>
      <c r="C887" s="176" t="s">
        <v>2949</v>
      </c>
      <c r="D887" s="176" t="str">
        <f>"Alimentation saine: aimer beaucoup manger"</f>
        <v>Alimentation saine: aimer beaucoup manger</v>
      </c>
      <c r="E887" s="178"/>
      <c r="F887" s="176"/>
    </row>
    <row r="888" spans="1:6" x14ac:dyDescent="0.2">
      <c r="A888" s="176"/>
      <c r="B888" s="177"/>
      <c r="C888" s="176" t="s">
        <v>2950</v>
      </c>
      <c r="D888" s="176" t="str">
        <f>"Alimentation saine: habitudes et contraintes de vie quotidienne"</f>
        <v>Alimentation saine: habitudes et contraintes de vie quotidienne</v>
      </c>
      <c r="E888" s="178"/>
      <c r="F888" s="176"/>
    </row>
    <row r="889" spans="1:6" x14ac:dyDescent="0.2">
      <c r="A889" s="176"/>
      <c r="B889" s="177"/>
      <c r="C889" s="176" t="s">
        <v>2951</v>
      </c>
      <c r="D889" s="176" t="str">
        <f>"Alimentation saine: manque de volonté"</f>
        <v>Alimentation saine: manque de volonté</v>
      </c>
      <c r="E889" s="178"/>
      <c r="F889" s="176"/>
    </row>
    <row r="890" spans="1:6" x14ac:dyDescent="0.2">
      <c r="A890" s="176"/>
      <c r="B890" s="177"/>
      <c r="C890" s="176" t="s">
        <v>2952</v>
      </c>
      <c r="D890" s="176" t="str">
        <f>"Nuisances domicile : bruit du trafic"</f>
        <v>Nuisances domicile : bruit du trafic</v>
      </c>
      <c r="E890" s="178"/>
      <c r="F890" s="176"/>
    </row>
    <row r="891" spans="1:6" x14ac:dyDescent="0.2">
      <c r="A891" s="176"/>
      <c r="B891" s="177"/>
      <c r="C891" s="176" t="s">
        <v>2953</v>
      </c>
      <c r="D891" s="176" t="str">
        <f>"Nuisances domicile : bruit des usines"</f>
        <v>Nuisances domicile : bruit des usines</v>
      </c>
      <c r="E891" s="178"/>
      <c r="F891" s="176"/>
    </row>
    <row r="892" spans="1:6" x14ac:dyDescent="0.2">
      <c r="A892" s="176"/>
      <c r="B892" s="177"/>
      <c r="C892" s="176" t="s">
        <v>2954</v>
      </c>
      <c r="D892" s="176" t="str">
        <f>"Nuisances domicile : bruit de personnes hors ménage"</f>
        <v>Nuisances domicile : bruit de personnes hors ménage</v>
      </c>
      <c r="E892" s="178"/>
      <c r="F892" s="176"/>
    </row>
    <row r="893" spans="1:6" x14ac:dyDescent="0.2">
      <c r="A893" s="176"/>
      <c r="B893" s="177"/>
      <c r="C893" s="176" t="s">
        <v>2955</v>
      </c>
      <c r="D893" s="176" t="str">
        <f>"Nuisances domicile : gaz échappements"</f>
        <v>Nuisances domicile : gaz échappements</v>
      </c>
      <c r="E893" s="178"/>
      <c r="F893" s="176"/>
    </row>
    <row r="894" spans="1:6" x14ac:dyDescent="0.2">
      <c r="A894" s="176"/>
      <c r="B894" s="177"/>
      <c r="C894" s="176" t="s">
        <v>2956</v>
      </c>
      <c r="D894" s="176" t="str">
        <f>"Nuisances domicile : rejets industriels"</f>
        <v>Nuisances domicile : rejets industriels</v>
      </c>
      <c r="E894" s="178"/>
      <c r="F894" s="176"/>
    </row>
    <row r="895" spans="1:6" x14ac:dyDescent="0.2">
      <c r="A895" s="176"/>
      <c r="B895" s="177"/>
      <c r="C895" s="176" t="s">
        <v>2957</v>
      </c>
      <c r="D895" s="176" t="str">
        <f>"Nuisances domicile : bruits agricoles"</f>
        <v>Nuisances domicile : bruits agricoles</v>
      </c>
      <c r="E895" s="178"/>
      <c r="F895" s="176"/>
    </row>
    <row r="896" spans="1:6" x14ac:dyDescent="0.2">
      <c r="A896" s="176"/>
      <c r="B896" s="177"/>
      <c r="C896" s="176" t="s">
        <v>2958</v>
      </c>
      <c r="D896" s="176" t="str">
        <f>"Nuisances domicile : autres nuisances"</f>
        <v>Nuisances domicile : autres nuisances</v>
      </c>
      <c r="E896" s="178"/>
      <c r="F896" s="176"/>
    </row>
    <row r="897" spans="1:6" x14ac:dyDescent="0.2">
      <c r="A897" s="176"/>
      <c r="B897" s="177"/>
      <c r="C897" s="176" t="s">
        <v>2959</v>
      </c>
      <c r="D897" s="176" t="str">
        <f>"Nuisances au travail : bruit du trafic"</f>
        <v>Nuisances au travail : bruit du trafic</v>
      </c>
      <c r="E897" s="178"/>
      <c r="F897" s="176"/>
    </row>
    <row r="898" spans="1:6" x14ac:dyDescent="0.2">
      <c r="A898" s="176"/>
      <c r="B898" s="177"/>
      <c r="C898" s="176" t="s">
        <v>2960</v>
      </c>
      <c r="D898" s="176" t="str">
        <f>"Nuisances au travail : bruit de machine"</f>
        <v>Nuisances au travail : bruit de machine</v>
      </c>
      <c r="E898" s="178"/>
      <c r="F898" s="176"/>
    </row>
    <row r="899" spans="1:6" x14ac:dyDescent="0.2">
      <c r="A899" s="176"/>
      <c r="B899" s="177"/>
      <c r="C899" s="176" t="s">
        <v>2961</v>
      </c>
      <c r="D899" s="176" t="str">
        <f>"Nuisances au travail : poussière"</f>
        <v>Nuisances au travail : poussière</v>
      </c>
      <c r="E899" s="178"/>
      <c r="F899" s="176"/>
    </row>
    <row r="900" spans="1:6" x14ac:dyDescent="0.2">
      <c r="A900" s="176"/>
      <c r="B900" s="177"/>
      <c r="C900" s="176" t="s">
        <v>2962</v>
      </c>
      <c r="D900" s="176" t="str">
        <f>"Nuisances au travail : température trop élevée, trop basse"</f>
        <v>Nuisances au travail : température trop élevée, trop basse</v>
      </c>
      <c r="E900" s="178"/>
      <c r="F900" s="176"/>
    </row>
    <row r="901" spans="1:6" x14ac:dyDescent="0.2">
      <c r="A901" s="176"/>
      <c r="B901" s="177"/>
      <c r="C901" s="176" t="s">
        <v>2963</v>
      </c>
      <c r="D901" s="176" t="str">
        <f>"Nuisances au travail : courants d'air"</f>
        <v>Nuisances au travail : courants d'air</v>
      </c>
      <c r="E901" s="178"/>
      <c r="F901" s="176"/>
    </row>
    <row r="902" spans="1:6" x14ac:dyDescent="0.2">
      <c r="A902" s="176"/>
      <c r="B902" s="177"/>
      <c r="C902" s="176" t="s">
        <v>2964</v>
      </c>
      <c r="D902" s="176" t="str">
        <f>"Nuisances au travail : matières chimiques, peinture, odeurs, gaz d'échappement"</f>
        <v>Nuisances au travail : matières chimiques, peinture, odeurs, gaz d'échappement</v>
      </c>
      <c r="E902" s="178"/>
      <c r="F902" s="176"/>
    </row>
    <row r="903" spans="1:6" x14ac:dyDescent="0.2">
      <c r="A903" s="176"/>
      <c r="B903" s="177"/>
      <c r="C903" s="176" t="s">
        <v>2965</v>
      </c>
      <c r="D903" s="176" t="str">
        <f>"Nuisances au travail : humidité"</f>
        <v>Nuisances au travail : humidité</v>
      </c>
      <c r="E903" s="178"/>
      <c r="F903" s="176"/>
    </row>
    <row r="904" spans="1:6" x14ac:dyDescent="0.2">
      <c r="A904" s="176"/>
      <c r="B904" s="177"/>
      <c r="C904" s="176" t="s">
        <v>2966</v>
      </c>
      <c r="D904" s="176" t="str">
        <f>"Nuisances au travail : fumée du tabac"</f>
        <v>Nuisances au travail : fumée du tabac</v>
      </c>
      <c r="E904" s="178"/>
      <c r="F904" s="176"/>
    </row>
    <row r="905" spans="1:6" x14ac:dyDescent="0.2">
      <c r="A905" s="176"/>
      <c r="B905" s="177"/>
      <c r="C905" s="176" t="s">
        <v>2967</v>
      </c>
      <c r="D905" s="176" t="str">
        <f>"Nuisances au travail : autre"</f>
        <v>Nuisances au travail : autre</v>
      </c>
      <c r="E905" s="178"/>
      <c r="F905" s="176"/>
    </row>
    <row r="906" spans="1:6" x14ac:dyDescent="0.2">
      <c r="A906" s="176"/>
      <c r="B906" s="177"/>
      <c r="C906" s="176" t="s">
        <v>2968</v>
      </c>
      <c r="D906" s="176" t="str">
        <f>"Promotion de la santé : devoir l'école"</f>
        <v>Promotion de la santé : devoir l'école</v>
      </c>
      <c r="E906" s="179" t="s">
        <v>3659</v>
      </c>
      <c r="F906" s="176" t="s">
        <v>2969</v>
      </c>
    </row>
    <row r="907" spans="1:6" x14ac:dyDescent="0.2">
      <c r="A907" s="176"/>
      <c r="B907" s="177"/>
      <c r="C907" s="176" t="s">
        <v>2970</v>
      </c>
      <c r="D907" s="176" t="str">
        <f>"Promotion de la santé : devoir des services médicaux"</f>
        <v>Promotion de la santé : devoir des services médicaux</v>
      </c>
      <c r="E907" s="179" t="s">
        <v>3660</v>
      </c>
      <c r="F907" s="176"/>
    </row>
    <row r="908" spans="1:6" x14ac:dyDescent="0.2">
      <c r="A908" s="176"/>
      <c r="B908" s="177"/>
      <c r="C908" s="176" t="s">
        <v>2971</v>
      </c>
      <c r="D908" s="176" t="str">
        <f>"Promotion de la santé : devoir de l'industrie, artisanat"</f>
        <v>Promotion de la santé : devoir de l'industrie, artisanat</v>
      </c>
      <c r="E908" s="179" t="s">
        <v>3661</v>
      </c>
      <c r="F908" s="176"/>
    </row>
    <row r="909" spans="1:6" x14ac:dyDescent="0.2">
      <c r="A909" s="176"/>
      <c r="B909" s="177"/>
      <c r="C909" s="176" t="s">
        <v>2972</v>
      </c>
      <c r="D909" s="176" t="str">
        <f>"Promotion de la santé : devoir des communes"</f>
        <v>Promotion de la santé : devoir des communes</v>
      </c>
      <c r="E909" s="178" t="s">
        <v>3252</v>
      </c>
      <c r="F909" s="176"/>
    </row>
    <row r="910" spans="1:6" x14ac:dyDescent="0.2">
      <c r="A910" s="176"/>
      <c r="B910" s="177"/>
      <c r="C910" s="176" t="s">
        <v>2973</v>
      </c>
      <c r="D910" s="176" t="str">
        <f>"Promotion de la santé : devoir du canton"</f>
        <v>Promotion de la santé : devoir du canton</v>
      </c>
      <c r="E910" s="178"/>
      <c r="F910" s="176"/>
    </row>
    <row r="911" spans="1:6" x14ac:dyDescent="0.2">
      <c r="A911" s="176"/>
      <c r="B911" s="177"/>
      <c r="C911" s="176" t="s">
        <v>2974</v>
      </c>
      <c r="D911" s="176" t="str">
        <f>"Promotion de la santé : devoir de la confédération"</f>
        <v>Promotion de la santé : devoir de la confédération</v>
      </c>
      <c r="E911" s="178"/>
      <c r="F911" s="176"/>
    </row>
    <row r="912" spans="1:6" x14ac:dyDescent="0.2">
      <c r="A912" s="176"/>
      <c r="B912" s="177"/>
      <c r="C912" s="176" t="s">
        <v>2975</v>
      </c>
      <c r="D912" s="176" t="str">
        <f>"(Femmes) Pilule : prise antérieure"</f>
        <v>(Femmes) Pilule : prise antérieure</v>
      </c>
      <c r="E912" s="179" t="s">
        <v>3662</v>
      </c>
      <c r="F912" s="176" t="s">
        <v>2976</v>
      </c>
    </row>
    <row r="913" spans="1:6" x14ac:dyDescent="0.2">
      <c r="A913" s="176"/>
      <c r="B913" s="177"/>
      <c r="C913" s="176"/>
      <c r="D913" s="176"/>
      <c r="E913" s="179" t="s">
        <v>3663</v>
      </c>
      <c r="F913" s="176"/>
    </row>
    <row r="914" spans="1:6" x14ac:dyDescent="0.2">
      <c r="A914" s="176"/>
      <c r="B914" s="177"/>
      <c r="C914" s="176"/>
      <c r="D914" s="176"/>
      <c r="E914" s="178" t="s">
        <v>3252</v>
      </c>
      <c r="F914" s="176"/>
    </row>
    <row r="915" spans="1:6" x14ac:dyDescent="0.2">
      <c r="A915" s="176"/>
      <c r="B915" s="177"/>
      <c r="C915" s="176" t="s">
        <v>2977</v>
      </c>
      <c r="D915" s="176" t="str">
        <f>"(Femmes) Pilule : durée d'utilisation (nombre d'années)"</f>
        <v>(Femmes) Pilule : durée d'utilisation (nombre d'années)</v>
      </c>
      <c r="E915" s="179" t="s">
        <v>3664</v>
      </c>
      <c r="F915" s="176" t="s">
        <v>2978</v>
      </c>
    </row>
    <row r="916" spans="1:6" x14ac:dyDescent="0.2">
      <c r="A916" s="176"/>
      <c r="B916" s="177"/>
      <c r="C916" s="176"/>
      <c r="D916" s="176"/>
      <c r="E916" s="179" t="s">
        <v>3665</v>
      </c>
      <c r="F916" s="176"/>
    </row>
    <row r="917" spans="1:6" x14ac:dyDescent="0.2">
      <c r="A917" s="176"/>
      <c r="B917" s="177"/>
      <c r="C917" s="176"/>
      <c r="D917" s="176"/>
      <c r="E917" s="179" t="s">
        <v>3666</v>
      </c>
      <c r="F917" s="176"/>
    </row>
    <row r="918" spans="1:6" x14ac:dyDescent="0.2">
      <c r="A918" s="176"/>
      <c r="B918" s="177"/>
      <c r="C918" s="176"/>
      <c r="D918" s="176"/>
      <c r="E918" s="179" t="s">
        <v>3667</v>
      </c>
      <c r="F918" s="176"/>
    </row>
    <row r="919" spans="1:6" x14ac:dyDescent="0.2">
      <c r="A919" s="176"/>
      <c r="B919" s="177"/>
      <c r="C919" s="176"/>
      <c r="D919" s="176"/>
      <c r="E919" s="178" t="s">
        <v>3252</v>
      </c>
      <c r="F919" s="176"/>
    </row>
    <row r="920" spans="1:6" x14ac:dyDescent="0.2">
      <c r="A920" s="176"/>
      <c r="B920" s="177"/>
      <c r="C920" s="176" t="s">
        <v>2979</v>
      </c>
      <c r="D920" s="176" t="str">
        <f>"Salariés : incapacité de travail (30 jours) : poursuite du versement du salaire"</f>
        <v>Salariés : incapacité de travail (30 jours) : poursuite du versement du salaire</v>
      </c>
      <c r="E920" s="179" t="s">
        <v>3668</v>
      </c>
      <c r="F920" s="176" t="s">
        <v>2980</v>
      </c>
    </row>
    <row r="921" spans="1:6" x14ac:dyDescent="0.2">
      <c r="A921" s="176"/>
      <c r="B921" s="177"/>
      <c r="C921" s="176"/>
      <c r="D921" s="176"/>
      <c r="E921" s="179" t="s">
        <v>3669</v>
      </c>
      <c r="F921" s="176"/>
    </row>
    <row r="922" spans="1:6" x14ac:dyDescent="0.2">
      <c r="A922" s="176"/>
      <c r="B922" s="177"/>
      <c r="C922" s="176"/>
      <c r="D922" s="176"/>
      <c r="E922" s="179" t="s">
        <v>3670</v>
      </c>
      <c r="F922" s="176"/>
    </row>
    <row r="923" spans="1:6" x14ac:dyDescent="0.2">
      <c r="A923" s="176"/>
      <c r="B923" s="177"/>
      <c r="C923" s="176"/>
      <c r="D923" s="176"/>
      <c r="E923" s="178" t="s">
        <v>3252</v>
      </c>
      <c r="F923" s="176"/>
    </row>
    <row r="924" spans="1:6" x14ac:dyDescent="0.2">
      <c r="A924" s="176"/>
      <c r="B924" s="177"/>
      <c r="C924" s="176" t="s">
        <v>2981</v>
      </c>
      <c r="D924" s="176" t="str">
        <f>"Caisse-maladie : prime individuelle : paiement échelonné"</f>
        <v>Caisse-maladie : prime individuelle : paiement échelonné</v>
      </c>
      <c r="E924" s="179" t="s">
        <v>3671</v>
      </c>
      <c r="F924" s="176" t="s">
        <v>2982</v>
      </c>
    </row>
    <row r="925" spans="1:6" x14ac:dyDescent="0.2">
      <c r="A925" s="176"/>
      <c r="B925" s="177"/>
      <c r="C925" s="176" t="s">
        <v>2983</v>
      </c>
      <c r="D925" s="176" t="str">
        <f>"(TKONT03&gt;1) Caisse-maladie : prime pour le ménage : paiement échelonné"</f>
        <v>(TKONT03&gt;1) Caisse-maladie : prime pour le ménage : paiement échelonné</v>
      </c>
      <c r="E925" s="179" t="s">
        <v>3672</v>
      </c>
      <c r="F925" s="176"/>
    </row>
    <row r="926" spans="1:6" x14ac:dyDescent="0.2">
      <c r="A926" s="176"/>
      <c r="B926" s="177"/>
      <c r="C926" s="176"/>
      <c r="D926" s="176"/>
      <c r="E926" s="179" t="s">
        <v>3673</v>
      </c>
      <c r="F926" s="176"/>
    </row>
    <row r="927" spans="1:6" x14ac:dyDescent="0.2">
      <c r="A927" s="176"/>
      <c r="B927" s="177"/>
      <c r="C927" s="176"/>
      <c r="D927" s="176"/>
      <c r="E927" s="179" t="s">
        <v>3674</v>
      </c>
      <c r="F927" s="176"/>
    </row>
    <row r="928" spans="1:6" x14ac:dyDescent="0.2">
      <c r="A928" s="176"/>
      <c r="B928" s="177"/>
      <c r="C928" s="176"/>
      <c r="D928" s="176"/>
      <c r="E928" s="178" t="s">
        <v>3252</v>
      </c>
      <c r="F928" s="176"/>
    </row>
    <row r="929" spans="1:6" x14ac:dyDescent="0.2">
      <c r="A929" s="176"/>
      <c r="B929" s="177"/>
      <c r="C929" s="176" t="s">
        <v>2984</v>
      </c>
      <c r="D929" s="176" t="str">
        <f>"Caisse-maladie : franchise"</f>
        <v>Caisse-maladie : franchise</v>
      </c>
      <c r="E929" s="179" t="s">
        <v>3675</v>
      </c>
      <c r="F929" s="176" t="s">
        <v>2985</v>
      </c>
    </row>
    <row r="930" spans="1:6" x14ac:dyDescent="0.2">
      <c r="A930" s="176"/>
      <c r="B930" s="177"/>
      <c r="C930" s="176"/>
      <c r="D930" s="176"/>
      <c r="E930" s="179" t="s">
        <v>3676</v>
      </c>
      <c r="F930" s="176"/>
    </row>
    <row r="931" spans="1:6" x14ac:dyDescent="0.2">
      <c r="A931" s="176"/>
      <c r="B931" s="177"/>
      <c r="C931" s="176"/>
      <c r="D931" s="176"/>
      <c r="E931" s="179" t="s">
        <v>3677</v>
      </c>
      <c r="F931" s="176"/>
    </row>
    <row r="932" spans="1:6" x14ac:dyDescent="0.2">
      <c r="A932" s="176"/>
      <c r="B932" s="177"/>
      <c r="C932" s="176"/>
      <c r="D932" s="176"/>
      <c r="E932" s="179" t="s">
        <v>3678</v>
      </c>
      <c r="F932" s="176"/>
    </row>
    <row r="933" spans="1:6" x14ac:dyDescent="0.2">
      <c r="A933" s="176"/>
      <c r="B933" s="177"/>
      <c r="C933" s="176"/>
      <c r="D933" s="176"/>
      <c r="E933" s="179" t="s">
        <v>3679</v>
      </c>
      <c r="F933" s="176"/>
    </row>
    <row r="934" spans="1:6" x14ac:dyDescent="0.2">
      <c r="A934" s="176"/>
      <c r="B934" s="177"/>
      <c r="C934" s="176"/>
      <c r="D934" s="176"/>
      <c r="E934" s="178" t="s">
        <v>3252</v>
      </c>
      <c r="F934" s="176"/>
    </row>
    <row r="935" spans="1:6" x14ac:dyDescent="0.2">
      <c r="A935" s="176"/>
      <c r="B935" s="177"/>
      <c r="C935" s="176" t="s">
        <v>2986</v>
      </c>
      <c r="D935" s="176" t="str">
        <f>"Fortune : maintien du niveau de vie (durée)"</f>
        <v>Fortune : maintien du niveau de vie (durée)</v>
      </c>
      <c r="E935" s="179" t="s">
        <v>3680</v>
      </c>
      <c r="F935" s="176" t="s">
        <v>2987</v>
      </c>
    </row>
    <row r="936" spans="1:6" x14ac:dyDescent="0.2">
      <c r="A936" s="176"/>
      <c r="B936" s="177"/>
      <c r="C936" s="176"/>
      <c r="D936" s="176"/>
      <c r="E936" s="179" t="s">
        <v>3681</v>
      </c>
      <c r="F936" s="176"/>
    </row>
    <row r="937" spans="1:6" x14ac:dyDescent="0.2">
      <c r="A937" s="176"/>
      <c r="B937" s="177"/>
      <c r="C937" s="176"/>
      <c r="D937" s="176"/>
      <c r="E937" s="179" t="s">
        <v>3682</v>
      </c>
      <c r="F937" s="176"/>
    </row>
    <row r="938" spans="1:6" x14ac:dyDescent="0.2">
      <c r="A938" s="176"/>
      <c r="B938" s="177"/>
      <c r="C938" s="176"/>
      <c r="D938" s="176"/>
      <c r="E938" s="179" t="s">
        <v>3683</v>
      </c>
      <c r="F938" s="176"/>
    </row>
    <row r="939" spans="1:6" x14ac:dyDescent="0.2">
      <c r="A939" s="176"/>
      <c r="B939" s="177"/>
      <c r="C939" s="176"/>
      <c r="D939" s="176"/>
      <c r="E939" s="179" t="s">
        <v>3684</v>
      </c>
      <c r="F939" s="176"/>
    </row>
    <row r="940" spans="1:6" x14ac:dyDescent="0.2">
      <c r="A940" s="176"/>
      <c r="B940" s="177"/>
      <c r="C940" s="176"/>
      <c r="D940" s="176"/>
      <c r="E940" s="179" t="s">
        <v>3685</v>
      </c>
      <c r="F940" s="176"/>
    </row>
    <row r="941" spans="1:6" x14ac:dyDescent="0.2">
      <c r="A941" s="176"/>
      <c r="B941" s="177"/>
      <c r="C941" s="176"/>
      <c r="D941" s="176"/>
      <c r="E941" s="178" t="s">
        <v>3252</v>
      </c>
      <c r="F941" s="176"/>
    </row>
    <row r="942" spans="1:6" x14ac:dyDescent="0.2">
      <c r="A942" s="176"/>
      <c r="B942" s="177"/>
      <c r="C942" s="176" t="s">
        <v>2988</v>
      </c>
      <c r="D942" s="176" t="s">
        <v>2989</v>
      </c>
      <c r="E942" s="179" t="s">
        <v>3686</v>
      </c>
      <c r="F942" s="176" t="s">
        <v>2990</v>
      </c>
    </row>
    <row r="943" spans="1:6" x14ac:dyDescent="0.2">
      <c r="A943" s="176"/>
      <c r="B943" s="177"/>
      <c r="C943" s="176"/>
      <c r="D943" s="176"/>
      <c r="E943" s="179" t="s">
        <v>3687</v>
      </c>
      <c r="F943" s="176"/>
    </row>
    <row r="944" spans="1:6" x14ac:dyDescent="0.2">
      <c r="A944" s="176"/>
      <c r="B944" s="177"/>
      <c r="C944" s="176"/>
      <c r="D944" s="176"/>
      <c r="E944" s="179" t="s">
        <v>3688</v>
      </c>
      <c r="F944" s="176"/>
    </row>
    <row r="945" spans="1:6" x14ac:dyDescent="0.2">
      <c r="A945" s="176"/>
      <c r="B945" s="177"/>
      <c r="C945" s="176"/>
      <c r="D945" s="176"/>
      <c r="E945" s="178" t="s">
        <v>3252</v>
      </c>
      <c r="F945" s="176"/>
    </row>
    <row r="946" spans="1:6" x14ac:dyDescent="0.2">
      <c r="A946" s="176"/>
      <c r="B946" s="177"/>
      <c r="C946" s="176" t="s">
        <v>2991</v>
      </c>
      <c r="D946" s="176" t="str">
        <f>"Douleurs, crampes pectorales : disparaît en restant tranquille : ± 10 minutes"</f>
        <v>Douleurs, crampes pectorales : disparaît en restant tranquille : ± 10 minutes</v>
      </c>
      <c r="E946" s="179" t="s">
        <v>3689</v>
      </c>
      <c r="F946" s="176" t="s">
        <v>2992</v>
      </c>
    </row>
    <row r="947" spans="1:6" ht="15" x14ac:dyDescent="0.25">
      <c r="A947" s="176"/>
      <c r="B947" s="177"/>
      <c r="C947" s="182"/>
      <c r="D947" s="176"/>
      <c r="E947" s="179" t="s">
        <v>3690</v>
      </c>
      <c r="F947" s="176"/>
    </row>
    <row r="948" spans="1:6" x14ac:dyDescent="0.2">
      <c r="A948" s="176"/>
      <c r="B948" s="177"/>
      <c r="C948" s="176"/>
      <c r="D948" s="176"/>
      <c r="E948" s="178" t="s">
        <v>3252</v>
      </c>
      <c r="F948" s="176"/>
    </row>
    <row r="949" spans="1:6" x14ac:dyDescent="0.2">
      <c r="A949" s="176"/>
      <c r="B949" s="177"/>
      <c r="C949" s="176" t="s">
        <v>2993</v>
      </c>
      <c r="D949" s="176" t="str">
        <f>"Enfant 1 : sexe"</f>
        <v>Enfant 1 : sexe</v>
      </c>
      <c r="E949" s="179" t="s">
        <v>3691</v>
      </c>
      <c r="F949" s="176" t="s">
        <v>2994</v>
      </c>
    </row>
    <row r="950" spans="1:6" x14ac:dyDescent="0.2">
      <c r="A950" s="176"/>
      <c r="B950" s="177"/>
      <c r="C950" s="176" t="s">
        <v>2995</v>
      </c>
      <c r="D950" s="176" t="str">
        <f>"Enfant 2 : sexe"</f>
        <v>Enfant 2 : sexe</v>
      </c>
      <c r="E950" s="179" t="s">
        <v>3692</v>
      </c>
      <c r="F950" s="176"/>
    </row>
    <row r="951" spans="1:6" x14ac:dyDescent="0.2">
      <c r="A951" s="176"/>
      <c r="B951" s="177"/>
      <c r="C951" s="176" t="s">
        <v>2996</v>
      </c>
      <c r="D951" s="176" t="str">
        <f>"Enfant 3 : sexe"</f>
        <v>Enfant 3 : sexe</v>
      </c>
      <c r="E951" s="178" t="s">
        <v>3252</v>
      </c>
      <c r="F951" s="176"/>
    </row>
    <row r="952" spans="1:6" x14ac:dyDescent="0.2">
      <c r="A952" s="176"/>
      <c r="B952" s="177"/>
      <c r="C952" s="176" t="s">
        <v>2997</v>
      </c>
      <c r="D952" s="176" t="str">
        <f>"Enfant 1 : allaitement"</f>
        <v>Enfant 1 : allaitement</v>
      </c>
      <c r="E952" s="179" t="s">
        <v>3693</v>
      </c>
      <c r="F952" s="176" t="s">
        <v>2998</v>
      </c>
    </row>
    <row r="953" spans="1:6" x14ac:dyDescent="0.2">
      <c r="A953" s="176"/>
      <c r="B953" s="177"/>
      <c r="C953" s="176" t="s">
        <v>2999</v>
      </c>
      <c r="D953" s="176" t="str">
        <f>"Enfant 2 : allaitement"</f>
        <v>Enfant 2 : allaitement</v>
      </c>
      <c r="E953" s="179" t="s">
        <v>3694</v>
      </c>
      <c r="F953" s="176"/>
    </row>
    <row r="954" spans="1:6" x14ac:dyDescent="0.2">
      <c r="A954" s="176"/>
      <c r="B954" s="177"/>
      <c r="C954" s="176" t="s">
        <v>3000</v>
      </c>
      <c r="D954" s="176" t="str">
        <f>"Enfant 3 : allaitement"</f>
        <v>Enfant 3 : allaitement</v>
      </c>
      <c r="E954" s="179" t="s">
        <v>3695</v>
      </c>
      <c r="F954" s="176"/>
    </row>
    <row r="955" spans="1:6" x14ac:dyDescent="0.2">
      <c r="A955" s="176"/>
      <c r="B955" s="177"/>
      <c r="C955" s="176"/>
      <c r="D955" s="176"/>
      <c r="E955" s="179" t="s">
        <v>3696</v>
      </c>
      <c r="F955" s="176"/>
    </row>
    <row r="956" spans="1:6" x14ac:dyDescent="0.2">
      <c r="A956" s="176"/>
      <c r="B956" s="177"/>
      <c r="C956" s="176"/>
      <c r="D956" s="176"/>
      <c r="E956" s="179" t="s">
        <v>3697</v>
      </c>
      <c r="F956" s="176"/>
    </row>
    <row r="957" spans="1:6" x14ac:dyDescent="0.2">
      <c r="A957" s="176"/>
      <c r="B957" s="177"/>
      <c r="C957" s="176"/>
      <c r="D957" s="176"/>
      <c r="E957" s="178" t="s">
        <v>3252</v>
      </c>
      <c r="F957" s="176"/>
    </row>
    <row r="958" spans="1:6" x14ac:dyDescent="0.2">
      <c r="A958" s="176"/>
      <c r="B958" s="177"/>
      <c r="C958" s="176" t="s">
        <v>3001</v>
      </c>
      <c r="D958" s="176" t="str">
        <f>"Enfant 1 : handicap : influence sur aptitude à fréquenter l'école, autres activités"</f>
        <v>Enfant 1 : handicap : influence sur aptitude à fréquenter l'école, autres activités</v>
      </c>
      <c r="E958" s="179" t="s">
        <v>3698</v>
      </c>
      <c r="F958" s="176" t="s">
        <v>3002</v>
      </c>
    </row>
    <row r="959" spans="1:6" x14ac:dyDescent="0.2">
      <c r="A959" s="176"/>
      <c r="B959" s="177"/>
      <c r="C959" s="176" t="s">
        <v>3003</v>
      </c>
      <c r="D959" s="176" t="str">
        <f>"Enfant 2 : handicap : influence sur aptitude à fréquenter l'école, autres activités"</f>
        <v>Enfant 2 : handicap : influence sur aptitude à fréquenter l'école, autres activités</v>
      </c>
      <c r="E959" s="179" t="s">
        <v>3699</v>
      </c>
      <c r="F959" s="176"/>
    </row>
    <row r="960" spans="1:6" x14ac:dyDescent="0.2">
      <c r="A960" s="176"/>
      <c r="B960" s="177"/>
      <c r="C960" s="176" t="s">
        <v>3004</v>
      </c>
      <c r="D960" s="176" t="str">
        <f>"Enfant 3 : handicap : influence sur aptitude à fréquenter l'école, autres activités"</f>
        <v>Enfant 3 : handicap : influence sur aptitude à fréquenter l'école, autres activités</v>
      </c>
      <c r="E960" s="179" t="s">
        <v>3700</v>
      </c>
      <c r="F960" s="176"/>
    </row>
    <row r="961" spans="1:6" x14ac:dyDescent="0.2">
      <c r="A961" s="176"/>
      <c r="B961" s="177"/>
      <c r="C961" s="176"/>
      <c r="D961" s="176"/>
      <c r="E961" s="178" t="s">
        <v>3252</v>
      </c>
      <c r="F961" s="176"/>
    </row>
    <row r="962" spans="1:6" x14ac:dyDescent="0.2">
      <c r="A962" s="176"/>
      <c r="B962" s="177"/>
      <c r="C962" s="176" t="s">
        <v>3005</v>
      </c>
      <c r="D962" s="176" t="str">
        <f>"Âge (7 groupes)"</f>
        <v>Âge (7 groupes)</v>
      </c>
      <c r="E962" s="179" t="s">
        <v>3701</v>
      </c>
      <c r="F962" s="176" t="s">
        <v>2765</v>
      </c>
    </row>
    <row r="963" spans="1:6" x14ac:dyDescent="0.2">
      <c r="A963" s="176"/>
      <c r="B963" s="177"/>
      <c r="C963" s="176"/>
      <c r="D963" s="176"/>
      <c r="E963" s="179" t="s">
        <v>3702</v>
      </c>
      <c r="F963" s="176"/>
    </row>
    <row r="964" spans="1:6" x14ac:dyDescent="0.2">
      <c r="A964" s="176"/>
      <c r="B964" s="177"/>
      <c r="C964" s="176"/>
      <c r="D964" s="176"/>
      <c r="E964" s="179" t="s">
        <v>3703</v>
      </c>
      <c r="F964" s="176"/>
    </row>
    <row r="965" spans="1:6" x14ac:dyDescent="0.2">
      <c r="A965" s="176"/>
      <c r="B965" s="177"/>
      <c r="C965" s="176"/>
      <c r="D965" s="176"/>
      <c r="E965" s="179" t="s">
        <v>3704</v>
      </c>
      <c r="F965" s="176"/>
    </row>
    <row r="966" spans="1:6" x14ac:dyDescent="0.2">
      <c r="A966" s="176"/>
      <c r="B966" s="177"/>
      <c r="C966" s="176"/>
      <c r="D966" s="176"/>
      <c r="E966" s="179" t="s">
        <v>3705</v>
      </c>
      <c r="F966" s="176"/>
    </row>
    <row r="967" spans="1:6" x14ac:dyDescent="0.2">
      <c r="A967" s="176"/>
      <c r="B967" s="177"/>
      <c r="C967" s="176"/>
      <c r="D967" s="176"/>
      <c r="E967" s="179" t="s">
        <v>3706</v>
      </c>
      <c r="F967" s="176"/>
    </row>
    <row r="968" spans="1:6" x14ac:dyDescent="0.2">
      <c r="A968" s="176"/>
      <c r="B968" s="177"/>
      <c r="C968" s="176"/>
      <c r="D968" s="176"/>
      <c r="E968" s="178" t="s">
        <v>3707</v>
      </c>
      <c r="F968" s="176"/>
    </row>
    <row r="969" spans="1:6" x14ac:dyDescent="0.2">
      <c r="A969" s="176"/>
      <c r="B969" s="177"/>
      <c r="C969" s="176" t="s">
        <v>3006</v>
      </c>
      <c r="D969" s="176" t="str">
        <f>"Âge (4 groupes)"</f>
        <v>Âge (4 groupes)</v>
      </c>
      <c r="E969" s="179" t="s">
        <v>3701</v>
      </c>
      <c r="F969" s="176" t="s">
        <v>2764</v>
      </c>
    </row>
    <row r="970" spans="1:6" x14ac:dyDescent="0.2">
      <c r="A970" s="176"/>
      <c r="B970" s="177"/>
      <c r="C970" s="176"/>
      <c r="D970" s="176"/>
      <c r="E970" s="179" t="s">
        <v>3708</v>
      </c>
      <c r="F970" s="176"/>
    </row>
    <row r="971" spans="1:6" x14ac:dyDescent="0.2">
      <c r="A971" s="176"/>
      <c r="B971" s="177"/>
      <c r="C971" s="176"/>
      <c r="D971" s="176"/>
      <c r="E971" s="179" t="s">
        <v>3709</v>
      </c>
      <c r="F971" s="176"/>
    </row>
    <row r="972" spans="1:6" x14ac:dyDescent="0.2">
      <c r="A972" s="176"/>
      <c r="B972" s="177"/>
      <c r="C972" s="176"/>
      <c r="D972" s="176"/>
      <c r="E972" s="178" t="s">
        <v>3710</v>
      </c>
      <c r="F972" s="176"/>
    </row>
    <row r="973" spans="1:6" x14ac:dyDescent="0.2">
      <c r="A973" s="176"/>
      <c r="B973" s="177"/>
      <c r="C973" s="176" t="s">
        <v>3007</v>
      </c>
      <c r="D973" s="176" t="str">
        <f>"Âge (3 groupes)"</f>
        <v>Âge (3 groupes)</v>
      </c>
      <c r="E973" s="179" t="s">
        <v>3711</v>
      </c>
      <c r="F973" s="176" t="s">
        <v>2763</v>
      </c>
    </row>
    <row r="974" spans="1:6" x14ac:dyDescent="0.2">
      <c r="A974" s="176"/>
      <c r="B974" s="177"/>
      <c r="C974" s="176"/>
      <c r="D974" s="176"/>
      <c r="E974" s="179" t="s">
        <v>3712</v>
      </c>
      <c r="F974" s="176"/>
    </row>
    <row r="975" spans="1:6" x14ac:dyDescent="0.2">
      <c r="A975" s="176"/>
      <c r="B975" s="177"/>
      <c r="C975" s="176"/>
      <c r="D975" s="176"/>
      <c r="E975" s="178" t="s">
        <v>3713</v>
      </c>
      <c r="F975" s="176"/>
    </row>
    <row r="976" spans="1:6" x14ac:dyDescent="0.2">
      <c r="A976" s="176"/>
      <c r="B976" s="177"/>
      <c r="C976" s="176" t="s">
        <v>3008</v>
      </c>
      <c r="D976" s="176" t="str">
        <f>"Langue du questionnaire écrit"</f>
        <v>Langue du questionnaire écrit</v>
      </c>
      <c r="E976" s="179" t="s">
        <v>3714</v>
      </c>
      <c r="F976" s="176" t="s">
        <v>2346</v>
      </c>
    </row>
    <row r="977" spans="1:6" x14ac:dyDescent="0.2">
      <c r="A977" s="176"/>
      <c r="B977" s="177"/>
      <c r="C977" s="176"/>
      <c r="D977" s="176"/>
      <c r="E977" s="179" t="s">
        <v>3715</v>
      </c>
      <c r="F977" s="176"/>
    </row>
    <row r="978" spans="1:6" x14ac:dyDescent="0.2">
      <c r="A978" s="176"/>
      <c r="B978" s="177"/>
      <c r="C978" s="176"/>
      <c r="D978" s="176"/>
      <c r="E978" s="178" t="s">
        <v>3716</v>
      </c>
      <c r="F978" s="176"/>
    </row>
    <row r="979" spans="1:6" x14ac:dyDescent="0.2">
      <c r="A979" s="176"/>
      <c r="B979" s="177"/>
      <c r="C979" s="176" t="s">
        <v>3009</v>
      </c>
      <c r="D979" s="176" t="str">
        <f>"Type de questionnaire écrit"</f>
        <v>Type de questionnaire écrit</v>
      </c>
      <c r="E979" s="179" t="s">
        <v>3717</v>
      </c>
      <c r="F979" s="176" t="s">
        <v>3009</v>
      </c>
    </row>
    <row r="980" spans="1:6" x14ac:dyDescent="0.2">
      <c r="A980" s="176"/>
      <c r="B980" s="177"/>
      <c r="C980" s="176"/>
      <c r="D980" s="176"/>
      <c r="E980" s="178" t="s">
        <v>3718</v>
      </c>
      <c r="F980" s="176"/>
    </row>
    <row r="981" spans="1:6" x14ac:dyDescent="0.2">
      <c r="A981" s="176"/>
      <c r="B981" s="177"/>
      <c r="C981" s="176" t="s">
        <v>2766</v>
      </c>
      <c r="D981" s="176" t="str">
        <f>"Canton"</f>
        <v>Canton</v>
      </c>
      <c r="E981" s="179" t="s">
        <v>3719</v>
      </c>
      <c r="F981" s="176" t="s">
        <v>2766</v>
      </c>
    </row>
    <row r="982" spans="1:6" x14ac:dyDescent="0.2">
      <c r="A982" s="176"/>
      <c r="B982" s="177"/>
      <c r="C982" s="176"/>
      <c r="D982" s="176"/>
      <c r="E982" s="179" t="s">
        <v>3720</v>
      </c>
      <c r="F982" s="176"/>
    </row>
    <row r="983" spans="1:6" x14ac:dyDescent="0.2">
      <c r="A983" s="176"/>
      <c r="B983" s="177"/>
      <c r="C983" s="176"/>
      <c r="D983" s="176"/>
      <c r="E983" s="179" t="s">
        <v>3721</v>
      </c>
      <c r="F983" s="176"/>
    </row>
    <row r="984" spans="1:6" x14ac:dyDescent="0.2">
      <c r="A984" s="176"/>
      <c r="B984" s="177"/>
      <c r="C984" s="176"/>
      <c r="D984" s="176"/>
      <c r="E984" s="179" t="s">
        <v>3722</v>
      </c>
      <c r="F984" s="176"/>
    </row>
    <row r="985" spans="1:6" x14ac:dyDescent="0.2">
      <c r="A985" s="176"/>
      <c r="B985" s="177"/>
      <c r="C985" s="176"/>
      <c r="D985" s="176"/>
      <c r="E985" s="179" t="s">
        <v>3723</v>
      </c>
      <c r="F985" s="176"/>
    </row>
    <row r="986" spans="1:6" x14ac:dyDescent="0.2">
      <c r="A986" s="176"/>
      <c r="B986" s="177"/>
      <c r="C986" s="176"/>
      <c r="D986" s="176"/>
      <c r="E986" s="179" t="s">
        <v>3724</v>
      </c>
      <c r="F986" s="176"/>
    </row>
    <row r="987" spans="1:6" x14ac:dyDescent="0.2">
      <c r="A987" s="176"/>
      <c r="B987" s="177"/>
      <c r="C987" s="176"/>
      <c r="D987" s="176"/>
      <c r="E987" s="179" t="s">
        <v>3725</v>
      </c>
      <c r="F987" s="176"/>
    </row>
    <row r="988" spans="1:6" x14ac:dyDescent="0.2">
      <c r="A988" s="176"/>
      <c r="B988" s="177"/>
      <c r="C988" s="176"/>
      <c r="D988" s="176"/>
      <c r="E988" s="179" t="s">
        <v>3726</v>
      </c>
      <c r="F988" s="176"/>
    </row>
    <row r="989" spans="1:6" x14ac:dyDescent="0.2">
      <c r="A989" s="176"/>
      <c r="B989" s="177"/>
      <c r="C989" s="176"/>
      <c r="D989" s="176"/>
      <c r="E989" s="179" t="s">
        <v>3727</v>
      </c>
      <c r="F989" s="176"/>
    </row>
    <row r="990" spans="1:6" x14ac:dyDescent="0.2">
      <c r="A990" s="176"/>
      <c r="B990" s="177"/>
      <c r="C990" s="176"/>
      <c r="D990" s="176"/>
      <c r="E990" s="179" t="s">
        <v>3728</v>
      </c>
      <c r="F990" s="176"/>
    </row>
    <row r="991" spans="1:6" x14ac:dyDescent="0.2">
      <c r="A991" s="176"/>
      <c r="B991" s="177"/>
      <c r="C991" s="176"/>
      <c r="D991" s="176"/>
      <c r="E991" s="179" t="s">
        <v>3729</v>
      </c>
      <c r="F991" s="176"/>
    </row>
    <row r="992" spans="1:6" x14ac:dyDescent="0.2">
      <c r="A992" s="176"/>
      <c r="B992" s="177"/>
      <c r="C992" s="176"/>
      <c r="D992" s="176"/>
      <c r="E992" s="179" t="s">
        <v>3730</v>
      </c>
      <c r="F992" s="176"/>
    </row>
    <row r="993" spans="1:6" x14ac:dyDescent="0.2">
      <c r="A993" s="176"/>
      <c r="B993" s="177"/>
      <c r="C993" s="176"/>
      <c r="D993" s="176"/>
      <c r="E993" s="179" t="s">
        <v>3731</v>
      </c>
      <c r="F993" s="176"/>
    </row>
    <row r="994" spans="1:6" x14ac:dyDescent="0.2">
      <c r="A994" s="176"/>
      <c r="B994" s="177"/>
      <c r="C994" s="176"/>
      <c r="D994" s="176"/>
      <c r="E994" s="179" t="s">
        <v>3732</v>
      </c>
      <c r="F994" s="176"/>
    </row>
    <row r="995" spans="1:6" x14ac:dyDescent="0.2">
      <c r="A995" s="176"/>
      <c r="B995" s="177"/>
      <c r="C995" s="176"/>
      <c r="D995" s="176"/>
      <c r="E995" s="179" t="s">
        <v>3733</v>
      </c>
      <c r="F995" s="176"/>
    </row>
    <row r="996" spans="1:6" x14ac:dyDescent="0.2">
      <c r="A996" s="176"/>
      <c r="B996" s="177"/>
      <c r="C996" s="176"/>
      <c r="D996" s="176"/>
      <c r="E996" s="179" t="s">
        <v>3734</v>
      </c>
      <c r="F996" s="176"/>
    </row>
    <row r="997" spans="1:6" x14ac:dyDescent="0.2">
      <c r="A997" s="176"/>
      <c r="B997" s="177"/>
      <c r="C997" s="176"/>
      <c r="D997" s="176"/>
      <c r="E997" s="179" t="s">
        <v>3735</v>
      </c>
      <c r="F997" s="176"/>
    </row>
    <row r="998" spans="1:6" x14ac:dyDescent="0.2">
      <c r="A998" s="176"/>
      <c r="B998" s="177"/>
      <c r="C998" s="176"/>
      <c r="D998" s="176"/>
      <c r="E998" s="179" t="s">
        <v>3736</v>
      </c>
      <c r="F998" s="176"/>
    </row>
    <row r="999" spans="1:6" x14ac:dyDescent="0.2">
      <c r="A999" s="176"/>
      <c r="B999" s="177"/>
      <c r="C999" s="176"/>
      <c r="D999" s="176"/>
      <c r="E999" s="179" t="s">
        <v>3737</v>
      </c>
      <c r="F999" s="176"/>
    </row>
    <row r="1000" spans="1:6" x14ac:dyDescent="0.2">
      <c r="A1000" s="176"/>
      <c r="B1000" s="177"/>
      <c r="C1000" s="176"/>
      <c r="D1000" s="176"/>
      <c r="E1000" s="179" t="s">
        <v>3738</v>
      </c>
      <c r="F1000" s="176"/>
    </row>
    <row r="1001" spans="1:6" x14ac:dyDescent="0.2">
      <c r="A1001" s="176"/>
      <c r="B1001" s="177"/>
      <c r="C1001" s="176"/>
      <c r="D1001" s="176"/>
      <c r="E1001" s="179" t="s">
        <v>3739</v>
      </c>
      <c r="F1001" s="176"/>
    </row>
    <row r="1002" spans="1:6" x14ac:dyDescent="0.2">
      <c r="A1002" s="176"/>
      <c r="B1002" s="177"/>
      <c r="C1002" s="176"/>
      <c r="D1002" s="176"/>
      <c r="E1002" s="179" t="s">
        <v>3740</v>
      </c>
      <c r="F1002" s="176"/>
    </row>
    <row r="1003" spans="1:6" x14ac:dyDescent="0.2">
      <c r="A1003" s="176"/>
      <c r="B1003" s="177"/>
      <c r="C1003" s="176"/>
      <c r="D1003" s="176"/>
      <c r="E1003" s="179" t="s">
        <v>3741</v>
      </c>
      <c r="F1003" s="176"/>
    </row>
    <row r="1004" spans="1:6" x14ac:dyDescent="0.2">
      <c r="A1004" s="176"/>
      <c r="B1004" s="177"/>
      <c r="C1004" s="176"/>
      <c r="D1004" s="176"/>
      <c r="E1004" s="179" t="s">
        <v>3742</v>
      </c>
      <c r="F1004" s="176"/>
    </row>
    <row r="1005" spans="1:6" x14ac:dyDescent="0.2">
      <c r="A1005" s="176"/>
      <c r="B1005" s="177"/>
      <c r="C1005" s="176"/>
      <c r="D1005" s="176"/>
      <c r="E1005" s="179" t="s">
        <v>3743</v>
      </c>
      <c r="F1005" s="176"/>
    </row>
    <row r="1006" spans="1:6" x14ac:dyDescent="0.2">
      <c r="A1006" s="176"/>
      <c r="B1006" s="177"/>
      <c r="C1006" s="176"/>
      <c r="D1006" s="176"/>
      <c r="E1006" s="178" t="s">
        <v>3744</v>
      </c>
      <c r="F1006" s="176"/>
    </row>
    <row r="1007" spans="1:6" x14ac:dyDescent="0.2">
      <c r="A1007" s="176"/>
      <c r="B1007" s="177"/>
      <c r="C1007" s="176" t="s">
        <v>2767</v>
      </c>
      <c r="D1007" s="176" t="str">
        <f>"Augmentation échantillon cantonal"</f>
        <v>Augmentation échantillon cantonal</v>
      </c>
      <c r="E1007" s="179" t="s">
        <v>3745</v>
      </c>
      <c r="F1007" s="181" t="s">
        <v>2768</v>
      </c>
    </row>
    <row r="1008" spans="1:6" x14ac:dyDescent="0.2">
      <c r="A1008" s="176"/>
      <c r="B1008" s="177"/>
      <c r="C1008" s="176"/>
      <c r="D1008" s="176"/>
      <c r="E1008" s="178" t="s">
        <v>3746</v>
      </c>
      <c r="F1008" s="176"/>
    </row>
  </sheetData>
  <mergeCells count="2">
    <mergeCell ref="A8:F8"/>
    <mergeCell ref="A702:F702"/>
  </mergeCells>
  <hyperlinks>
    <hyperlink ref="D1" location="'Aperçu SNC'!A1" display="Retour vers Aperçu" xr:uid="{00000000-0004-0000-0600-000000000000}"/>
    <hyperlink ref="B4" location="SGB!A8" display="enquête par téléphone" xr:uid="{00000000-0004-0000-0600-000001000000}"/>
    <hyperlink ref="B5" location="SGB!A702" display="enquête par écrit" xr:uid="{00000000-0004-0000-0600-000002000000}"/>
  </hyperlink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Aperçu SNC</vt:lpstr>
      <vt:lpstr>Extrait_SNC</vt:lpstr>
      <vt:lpstr>SSEP</vt:lpstr>
      <vt:lpstr>VZ1990</vt:lpstr>
      <vt:lpstr>VZ2000</vt:lpstr>
      <vt:lpstr>BEVNAT</vt:lpstr>
      <vt:lpstr>SGB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Nathalie Monnet</dc:creator>
  <cp:lastModifiedBy>Krummenacher Barendregt Athena BFS</cp:lastModifiedBy>
  <dcterms:created xsi:type="dcterms:W3CDTF">2021-10-12T12:14:12Z</dcterms:created>
  <dcterms:modified xsi:type="dcterms:W3CDTF">2025-05-22T12:48:28Z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2025-05-22T12:47:53Z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adbc1386-8a8d-4ce7-a26c-99ec44a96e4e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